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0200" windowHeight="7590" activeTab="5"/>
  </bookViews>
  <sheets>
    <sheet name="Protocole" sheetId="1" r:id="rId1"/>
    <sheet name="Volume par BV" sheetId="8" r:id="rId2"/>
    <sheet name="Duzon" sheetId="2" r:id="rId3"/>
    <sheet name="Daronne" sheetId="5" r:id="rId4"/>
    <sheet name="HVDoux" sheetId="6" r:id="rId5"/>
    <sheet name="MV Doux" sheetId="3" r:id="rId6"/>
    <sheet name="BaVDoux" sheetId="4" r:id="rId7"/>
  </sheets>
  <externalReferences>
    <externalReference r:id="rId8"/>
  </externalReferences>
  <definedNames>
    <definedName name="_xlnm._FilterDatabase" localSheetId="2" hidden="1">Duzon!$S$1:$S$110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3" l="1"/>
  <c r="E60" i="3"/>
  <c r="E59" i="3"/>
  <c r="E58" i="3"/>
  <c r="E56" i="3"/>
  <c r="E55" i="3"/>
  <c r="C57" i="3"/>
  <c r="C56" i="3"/>
  <c r="C60" i="3"/>
  <c r="C59" i="3"/>
  <c r="C58" i="3"/>
  <c r="C55" i="3"/>
  <c r="H51" i="3"/>
  <c r="F51" i="3"/>
  <c r="D58" i="3" l="1"/>
  <c r="D57" i="3"/>
  <c r="D60" i="3"/>
  <c r="E61" i="3"/>
  <c r="F60" i="3" s="1"/>
  <c r="C61" i="3"/>
  <c r="D55" i="3" s="1"/>
  <c r="G49" i="3"/>
  <c r="G50" i="3"/>
  <c r="D56" i="3" l="1"/>
  <c r="F58" i="3"/>
  <c r="F59" i="3"/>
  <c r="F55" i="3"/>
  <c r="F56" i="3"/>
  <c r="F57" i="3"/>
  <c r="D59" i="3"/>
  <c r="D61" i="3" s="1"/>
  <c r="X37" i="3"/>
  <c r="Y37" i="3" s="1"/>
  <c r="V37" i="3"/>
  <c r="W37" i="3" s="1"/>
  <c r="X36" i="3"/>
  <c r="Y36" i="3" s="1"/>
  <c r="V36" i="3"/>
  <c r="W36" i="3" s="1"/>
  <c r="X35" i="3"/>
  <c r="Y35" i="3" s="1"/>
  <c r="V35" i="3"/>
  <c r="W35" i="3" s="1"/>
  <c r="X34" i="3"/>
  <c r="V34" i="3"/>
  <c r="W34" i="3" s="1"/>
  <c r="X48" i="3"/>
  <c r="Y48" i="3" s="1"/>
  <c r="X47" i="3"/>
  <c r="Y47" i="3" s="1"/>
  <c r="X46" i="3"/>
  <c r="Y46" i="3" s="1"/>
  <c r="X45" i="3"/>
  <c r="Y45" i="3" s="1"/>
  <c r="X44" i="3"/>
  <c r="Y44" i="3" s="1"/>
  <c r="X43" i="3"/>
  <c r="Y43" i="3" s="1"/>
  <c r="Y49" i="3" s="1"/>
  <c r="N45" i="3"/>
  <c r="L45" i="3"/>
  <c r="N44" i="3"/>
  <c r="L44" i="3"/>
  <c r="N42" i="3"/>
  <c r="N43" i="3"/>
  <c r="L43" i="3"/>
  <c r="L42" i="3"/>
  <c r="N41" i="3"/>
  <c r="L41" i="3"/>
  <c r="N40" i="3"/>
  <c r="L40" i="3"/>
  <c r="D42" i="5"/>
  <c r="E42" i="5"/>
  <c r="F42" i="5" s="1"/>
  <c r="C42" i="5"/>
  <c r="C41" i="5"/>
  <c r="D41" i="5" s="1"/>
  <c r="E45" i="5"/>
  <c r="F45" i="5" s="1"/>
  <c r="C45" i="5"/>
  <c r="D45" i="5" s="1"/>
  <c r="E44" i="5"/>
  <c r="F44" i="5" s="1"/>
  <c r="E43" i="5"/>
  <c r="F43" i="5" s="1"/>
  <c r="E41" i="5"/>
  <c r="F41" i="5" s="1"/>
  <c r="C44" i="5"/>
  <c r="D44" i="5" s="1"/>
  <c r="C43" i="5"/>
  <c r="D43" i="5" s="1"/>
  <c r="AM87" i="2"/>
  <c r="AK87" i="2"/>
  <c r="AM86" i="2"/>
  <c r="AK86" i="2"/>
  <c r="AM85" i="2"/>
  <c r="AK85" i="2"/>
  <c r="AM84" i="2"/>
  <c r="AK84" i="2"/>
  <c r="X38" i="3" l="1"/>
  <c r="F61" i="3"/>
  <c r="E46" i="5"/>
  <c r="V38" i="3"/>
  <c r="W38" i="3" s="1"/>
  <c r="C46" i="5"/>
  <c r="AK88" i="2"/>
  <c r="AM88" i="2"/>
  <c r="Y34" i="3"/>
  <c r="Y38" i="3" s="1"/>
  <c r="X49" i="3"/>
  <c r="N46" i="3"/>
  <c r="L46" i="3"/>
  <c r="D46" i="5"/>
  <c r="F46" i="5"/>
  <c r="AC99" i="2" l="1"/>
  <c r="AA99" i="2"/>
  <c r="AC100" i="2"/>
  <c r="AA100" i="2"/>
  <c r="AC98" i="2"/>
  <c r="AA98" i="2"/>
  <c r="AC97" i="2"/>
  <c r="AA97" i="2"/>
  <c r="AC96" i="2"/>
  <c r="AA96" i="2"/>
  <c r="T109" i="2"/>
  <c r="T108" i="2"/>
  <c r="R109" i="2"/>
  <c r="B9" i="2" s="1"/>
  <c r="R108" i="2"/>
  <c r="B8" i="2" s="1"/>
  <c r="T107" i="2"/>
  <c r="D10" i="2" s="1"/>
  <c r="R107" i="2"/>
  <c r="B10" i="2" s="1"/>
  <c r="T106" i="2"/>
  <c r="R106" i="2"/>
  <c r="T105" i="2"/>
  <c r="R105" i="2"/>
  <c r="T104" i="2"/>
  <c r="R104" i="2"/>
  <c r="R103" i="2"/>
  <c r="T103" i="2"/>
  <c r="AC101" i="2" l="1"/>
  <c r="T110" i="2"/>
  <c r="R110" i="2"/>
  <c r="AA101" i="2"/>
  <c r="I49" i="2" l="1"/>
  <c r="B7" i="2" s="1"/>
  <c r="L44" i="2"/>
  <c r="K50" i="2"/>
  <c r="D11" i="2" s="1"/>
  <c r="I50" i="2"/>
  <c r="B11" i="2" s="1"/>
  <c r="K49" i="2"/>
  <c r="D7" i="2" s="1"/>
  <c r="K48" i="2"/>
  <c r="D6" i="2" s="1"/>
  <c r="I48" i="2"/>
  <c r="B6" i="2" s="1"/>
  <c r="K47" i="2"/>
  <c r="D5" i="2" s="1"/>
  <c r="I47" i="2"/>
  <c r="B5" i="2" s="1"/>
  <c r="J49" i="2" l="1"/>
  <c r="K51" i="2"/>
  <c r="J47" i="2"/>
  <c r="J48" i="2"/>
  <c r="J50" i="2"/>
  <c r="I51" i="2"/>
  <c r="J51" i="2" s="1"/>
  <c r="L16" i="5"/>
  <c r="BA11" i="6"/>
  <c r="AY11" i="6"/>
  <c r="AZ10" i="6"/>
  <c r="AZ9" i="6"/>
  <c r="AZ8" i="6"/>
  <c r="AZ7" i="6"/>
  <c r="AZ6" i="6"/>
  <c r="AZ5" i="6"/>
  <c r="AZ4" i="6"/>
  <c r="AZ3" i="6"/>
  <c r="AR10" i="6"/>
  <c r="AP10" i="6"/>
  <c r="AQ9" i="6"/>
  <c r="AQ8" i="6"/>
  <c r="AQ7" i="6"/>
  <c r="AQ6" i="6"/>
  <c r="AQ5" i="6"/>
  <c r="AQ4" i="6"/>
  <c r="AQ3" i="6"/>
  <c r="AI7" i="6"/>
  <c r="AG7" i="6"/>
  <c r="AH6" i="6"/>
  <c r="AH5" i="6"/>
  <c r="AH4" i="6"/>
  <c r="AH3" i="6"/>
  <c r="Z13" i="6"/>
  <c r="X13" i="6"/>
  <c r="Y12" i="6"/>
  <c r="Y11" i="6"/>
  <c r="Y10" i="6"/>
  <c r="Y9" i="6"/>
  <c r="Y8" i="6"/>
  <c r="Y7" i="6"/>
  <c r="Y6" i="6"/>
  <c r="Y5" i="6"/>
  <c r="Y4" i="6"/>
  <c r="Y3" i="6"/>
  <c r="H6" i="8"/>
  <c r="G6" i="8"/>
  <c r="Q15" i="6"/>
  <c r="O15" i="6"/>
  <c r="P14" i="6"/>
  <c r="P13" i="6"/>
  <c r="P12" i="6"/>
  <c r="P11" i="6"/>
  <c r="P10" i="6"/>
  <c r="P9" i="6"/>
  <c r="P8" i="6"/>
  <c r="P7" i="6"/>
  <c r="P6" i="6"/>
  <c r="P5" i="6"/>
  <c r="P4" i="6"/>
  <c r="P3" i="6"/>
  <c r="H19" i="6"/>
  <c r="F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H5" i="8"/>
  <c r="G5" i="8"/>
  <c r="AZ120" i="3"/>
  <c r="AZ119" i="3"/>
  <c r="BK54" i="3"/>
  <c r="BI54" i="3"/>
  <c r="BJ53" i="3"/>
  <c r="BJ52" i="3"/>
  <c r="BJ51" i="3"/>
  <c r="BJ50" i="3"/>
  <c r="BJ49" i="3"/>
  <c r="BJ48" i="3"/>
  <c r="BJ47" i="3"/>
  <c r="BJ46" i="3"/>
  <c r="BJ45" i="3"/>
  <c r="BJ44" i="3"/>
  <c r="BJ43" i="3"/>
  <c r="BJ42" i="3"/>
  <c r="BJ41" i="3"/>
  <c r="BJ40" i="3"/>
  <c r="BJ39" i="3"/>
  <c r="BJ38" i="3"/>
  <c r="BJ37" i="3"/>
  <c r="BJ36" i="3"/>
  <c r="BJ35" i="3"/>
  <c r="BJ34" i="3"/>
  <c r="BJ33" i="3"/>
  <c r="BJ32" i="3"/>
  <c r="BJ31" i="3"/>
  <c r="BJ30" i="3"/>
  <c r="BJ29" i="3"/>
  <c r="BJ28" i="3"/>
  <c r="BJ27" i="3"/>
  <c r="BJ26" i="3"/>
  <c r="BJ25" i="3"/>
  <c r="BJ24" i="3"/>
  <c r="BJ23" i="3"/>
  <c r="BJ22" i="3"/>
  <c r="BJ21" i="3"/>
  <c r="BJ20" i="3"/>
  <c r="BJ19" i="3"/>
  <c r="BJ18" i="3"/>
  <c r="BJ17" i="3"/>
  <c r="BJ16" i="3"/>
  <c r="BJ15" i="3"/>
  <c r="BJ14" i="3"/>
  <c r="BJ13" i="3"/>
  <c r="BJ12" i="3"/>
  <c r="BJ11" i="3"/>
  <c r="BJ10" i="3"/>
  <c r="BJ9" i="3"/>
  <c r="BJ8" i="3"/>
  <c r="BJ7" i="3"/>
  <c r="BJ6" i="3"/>
  <c r="BJ5" i="3"/>
  <c r="BJ4" i="3"/>
  <c r="BJ3" i="3"/>
  <c r="BA121" i="3"/>
  <c r="AY121" i="3"/>
  <c r="AZ118" i="3"/>
  <c r="AZ117" i="3"/>
  <c r="AZ116" i="3"/>
  <c r="AZ115" i="3"/>
  <c r="AZ114" i="3"/>
  <c r="AZ113" i="3"/>
  <c r="AZ112" i="3"/>
  <c r="AZ111" i="3"/>
  <c r="AZ110" i="3"/>
  <c r="AZ109" i="3"/>
  <c r="AZ108" i="3"/>
  <c r="AZ107" i="3"/>
  <c r="AZ106" i="3"/>
  <c r="AZ105" i="3"/>
  <c r="AZ104" i="3"/>
  <c r="AZ103" i="3"/>
  <c r="AZ102" i="3"/>
  <c r="AZ101" i="3"/>
  <c r="AZ100" i="3"/>
  <c r="AZ99" i="3"/>
  <c r="AZ98" i="3"/>
  <c r="AZ97" i="3"/>
  <c r="AZ96" i="3"/>
  <c r="AZ95" i="3"/>
  <c r="AZ94" i="3"/>
  <c r="AZ93" i="3"/>
  <c r="AZ92" i="3"/>
  <c r="AZ91" i="3"/>
  <c r="AZ90" i="3"/>
  <c r="AZ89" i="3"/>
  <c r="AZ88" i="3"/>
  <c r="AZ87" i="3"/>
  <c r="AZ86" i="3"/>
  <c r="AZ85" i="3"/>
  <c r="AZ84" i="3"/>
  <c r="AZ83" i="3"/>
  <c r="AZ82" i="3"/>
  <c r="AZ81" i="3"/>
  <c r="AZ80" i="3"/>
  <c r="AZ79" i="3"/>
  <c r="AZ78" i="3"/>
  <c r="AZ77" i="3"/>
  <c r="AZ76" i="3"/>
  <c r="AZ75" i="3"/>
  <c r="AZ74" i="3"/>
  <c r="AZ73" i="3"/>
  <c r="AZ72" i="3"/>
  <c r="AZ71" i="3"/>
  <c r="AZ70" i="3"/>
  <c r="AZ69" i="3"/>
  <c r="AZ68" i="3"/>
  <c r="AZ67" i="3"/>
  <c r="AZ66" i="3"/>
  <c r="AZ65" i="3"/>
  <c r="AZ64" i="3"/>
  <c r="AZ63" i="3"/>
  <c r="AZ62" i="3"/>
  <c r="AZ61" i="3"/>
  <c r="AZ60" i="3"/>
  <c r="AZ59" i="3"/>
  <c r="AZ58" i="3"/>
  <c r="AZ57" i="3"/>
  <c r="AZ56" i="3"/>
  <c r="AZ55" i="3"/>
  <c r="AZ54" i="3"/>
  <c r="AZ53" i="3"/>
  <c r="AZ52" i="3"/>
  <c r="AZ51" i="3"/>
  <c r="AZ50" i="3"/>
  <c r="AZ49" i="3"/>
  <c r="AZ48" i="3"/>
  <c r="AZ47" i="3"/>
  <c r="AZ46" i="3"/>
  <c r="AZ45" i="3"/>
  <c r="AZ44" i="3"/>
  <c r="AZ43" i="3"/>
  <c r="AZ42" i="3"/>
  <c r="AZ41" i="3"/>
  <c r="AZ40" i="3"/>
  <c r="AZ39" i="3"/>
  <c r="AZ38" i="3"/>
  <c r="AZ37" i="3"/>
  <c r="AZ36" i="3"/>
  <c r="AZ35" i="3"/>
  <c r="AZ34" i="3"/>
  <c r="AZ33" i="3"/>
  <c r="AZ32" i="3"/>
  <c r="AZ31" i="3"/>
  <c r="AZ30" i="3"/>
  <c r="AZ29" i="3"/>
  <c r="AZ28" i="3"/>
  <c r="AZ27" i="3"/>
  <c r="AZ26" i="3"/>
  <c r="AZ25" i="3"/>
  <c r="AZ24" i="3"/>
  <c r="AZ23" i="3"/>
  <c r="AZ22" i="3"/>
  <c r="AZ21" i="3"/>
  <c r="AZ20" i="3"/>
  <c r="AZ19" i="3"/>
  <c r="AZ18" i="3"/>
  <c r="AZ17" i="3"/>
  <c r="AZ16" i="3"/>
  <c r="AZ15" i="3"/>
  <c r="AZ14" i="3"/>
  <c r="AZ13" i="3"/>
  <c r="AZ12" i="3"/>
  <c r="AZ11" i="3"/>
  <c r="AZ10" i="3"/>
  <c r="AZ9" i="3"/>
  <c r="AZ8" i="3"/>
  <c r="AZ7" i="3"/>
  <c r="AZ6" i="3"/>
  <c r="AZ5" i="3"/>
  <c r="AZ4" i="3"/>
  <c r="AZ3" i="3"/>
  <c r="AR73" i="3"/>
  <c r="AP73" i="3"/>
  <c r="AQ72" i="3"/>
  <c r="AQ71" i="3"/>
  <c r="AQ70" i="3"/>
  <c r="AQ69" i="3"/>
  <c r="AQ68" i="3"/>
  <c r="AQ67" i="3"/>
  <c r="AQ66" i="3"/>
  <c r="AQ65" i="3"/>
  <c r="AQ64" i="3"/>
  <c r="AQ63" i="3"/>
  <c r="AQ62" i="3"/>
  <c r="AQ61" i="3"/>
  <c r="AQ60" i="3"/>
  <c r="AQ59" i="3"/>
  <c r="AQ58" i="3"/>
  <c r="AQ57" i="3"/>
  <c r="AQ56" i="3"/>
  <c r="AQ55" i="3"/>
  <c r="AQ54" i="3"/>
  <c r="AQ53" i="3"/>
  <c r="AQ52" i="3"/>
  <c r="AQ51" i="3"/>
  <c r="AQ50" i="3"/>
  <c r="AQ49" i="3"/>
  <c r="AQ48" i="3"/>
  <c r="AQ47" i="3"/>
  <c r="AQ46" i="3"/>
  <c r="AQ45" i="3"/>
  <c r="AQ44" i="3"/>
  <c r="AQ43" i="3"/>
  <c r="AQ42" i="3"/>
  <c r="AQ41" i="3"/>
  <c r="AQ40" i="3"/>
  <c r="AQ39" i="3"/>
  <c r="AQ38" i="3"/>
  <c r="AQ37" i="3"/>
  <c r="AQ36" i="3"/>
  <c r="AQ35" i="3"/>
  <c r="AQ34" i="3"/>
  <c r="AQ33" i="3"/>
  <c r="AQ32" i="3"/>
  <c r="AQ31" i="3"/>
  <c r="AQ30" i="3"/>
  <c r="AQ29" i="3"/>
  <c r="AQ28" i="3"/>
  <c r="AQ27" i="3"/>
  <c r="AQ26" i="3"/>
  <c r="AQ25" i="3"/>
  <c r="AQ24" i="3"/>
  <c r="AQ23" i="3"/>
  <c r="AQ22" i="3"/>
  <c r="AQ21" i="3"/>
  <c r="AQ20" i="3"/>
  <c r="AQ19" i="3"/>
  <c r="AQ18" i="3"/>
  <c r="AQ17" i="3"/>
  <c r="AQ16" i="3"/>
  <c r="AQ15" i="3"/>
  <c r="AQ14" i="3"/>
  <c r="AQ13" i="3"/>
  <c r="AQ12" i="3"/>
  <c r="AQ11" i="3"/>
  <c r="AQ10" i="3"/>
  <c r="AQ9" i="3"/>
  <c r="AQ8" i="3"/>
  <c r="AQ7" i="3"/>
  <c r="AQ6" i="3"/>
  <c r="AQ5" i="3"/>
  <c r="AQ4" i="3"/>
  <c r="AQ3" i="3"/>
  <c r="Z30" i="3"/>
  <c r="X30" i="3"/>
  <c r="Y29" i="3"/>
  <c r="Y28" i="3"/>
  <c r="Y27" i="3"/>
  <c r="Y26" i="3"/>
  <c r="Y25" i="3"/>
  <c r="Y24" i="3"/>
  <c r="Y23" i="3"/>
  <c r="Y22" i="3"/>
  <c r="V47" i="3" s="1"/>
  <c r="W47" i="3" s="1"/>
  <c r="Y21" i="3"/>
  <c r="Y20" i="3"/>
  <c r="Y19" i="3"/>
  <c r="Y18" i="3"/>
  <c r="Y17" i="3"/>
  <c r="Y16" i="3"/>
  <c r="Y15" i="3"/>
  <c r="AI30" i="3"/>
  <c r="AG30" i="3"/>
  <c r="AH29" i="3"/>
  <c r="AH28" i="3"/>
  <c r="AH27" i="3"/>
  <c r="AH26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H4" i="3"/>
  <c r="AH3" i="3"/>
  <c r="Z10" i="3"/>
  <c r="X10" i="3"/>
  <c r="Y4" i="3"/>
  <c r="Y5" i="3"/>
  <c r="Y6" i="3"/>
  <c r="Y7" i="3"/>
  <c r="Y8" i="3"/>
  <c r="Y9" i="3"/>
  <c r="Y3" i="3"/>
  <c r="Y10" i="3" s="1"/>
  <c r="V48" i="3" s="1"/>
  <c r="W48" i="3" s="1"/>
  <c r="Q37" i="3"/>
  <c r="O37" i="3"/>
  <c r="M45" i="3" s="1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3" i="3"/>
  <c r="G4" i="8"/>
  <c r="D10" i="8"/>
  <c r="H4" i="8" s="1"/>
  <c r="H3" i="8"/>
  <c r="G3" i="8"/>
  <c r="H2" i="8"/>
  <c r="G2" i="8"/>
  <c r="R22" i="4"/>
  <c r="P22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3" i="4"/>
  <c r="H9" i="4"/>
  <c r="F9" i="4"/>
  <c r="G4" i="4"/>
  <c r="G5" i="4"/>
  <c r="G6" i="4"/>
  <c r="G7" i="4"/>
  <c r="G8" i="4"/>
  <c r="G3" i="4"/>
  <c r="AI64" i="5"/>
  <c r="AG64" i="5"/>
  <c r="AH63" i="5"/>
  <c r="AH62" i="5"/>
  <c r="AH61" i="5"/>
  <c r="AH60" i="5"/>
  <c r="AH59" i="5"/>
  <c r="AH58" i="5"/>
  <c r="AH57" i="5"/>
  <c r="AH56" i="5"/>
  <c r="AH55" i="5"/>
  <c r="AH54" i="5"/>
  <c r="AH53" i="5"/>
  <c r="AH52" i="5"/>
  <c r="AH51" i="5"/>
  <c r="AH50" i="5"/>
  <c r="AH49" i="5"/>
  <c r="AH48" i="5"/>
  <c r="AH47" i="5"/>
  <c r="AH46" i="5"/>
  <c r="AH45" i="5"/>
  <c r="AH44" i="5"/>
  <c r="AH43" i="5"/>
  <c r="AH42" i="5"/>
  <c r="AH41" i="5"/>
  <c r="AH40" i="5"/>
  <c r="AH39" i="5"/>
  <c r="AH38" i="5"/>
  <c r="AH37" i="5"/>
  <c r="AH36" i="5"/>
  <c r="AH35" i="5"/>
  <c r="AH34" i="5"/>
  <c r="AH33" i="5"/>
  <c r="AH32" i="5"/>
  <c r="AH31" i="5"/>
  <c r="AH30" i="5"/>
  <c r="AH29" i="5"/>
  <c r="AH28" i="5"/>
  <c r="AH27" i="5"/>
  <c r="AH26" i="5"/>
  <c r="AH25" i="5"/>
  <c r="AH24" i="5"/>
  <c r="AH23" i="5"/>
  <c r="AH22" i="5"/>
  <c r="AH21" i="5"/>
  <c r="AH20" i="5"/>
  <c r="AH19" i="5"/>
  <c r="AH18" i="5"/>
  <c r="AH17" i="5"/>
  <c r="AH16" i="5"/>
  <c r="AH15" i="5"/>
  <c r="AH14" i="5"/>
  <c r="AH13" i="5"/>
  <c r="AH12" i="5"/>
  <c r="AH11" i="5"/>
  <c r="AH10" i="5"/>
  <c r="AH9" i="5"/>
  <c r="AH8" i="5"/>
  <c r="AH7" i="5"/>
  <c r="AH6" i="5"/>
  <c r="AH5" i="5"/>
  <c r="AH4" i="5"/>
  <c r="AH3" i="5"/>
  <c r="G51" i="3" l="1"/>
  <c r="G9" i="4"/>
  <c r="Q22" i="4"/>
  <c r="AZ121" i="3"/>
  <c r="AZ11" i="6"/>
  <c r="V43" i="3"/>
  <c r="Y13" i="6"/>
  <c r="AQ73" i="3"/>
  <c r="AH64" i="5"/>
  <c r="P37" i="3"/>
  <c r="AH30" i="3"/>
  <c r="BJ54" i="3"/>
  <c r="P15" i="6"/>
  <c r="AH7" i="6"/>
  <c r="V45" i="3"/>
  <c r="W45" i="3" s="1"/>
  <c r="V44" i="3"/>
  <c r="W44" i="3" s="1"/>
  <c r="O44" i="3"/>
  <c r="O41" i="3"/>
  <c r="O42" i="3"/>
  <c r="O43" i="3"/>
  <c r="O40" i="3"/>
  <c r="O45" i="3"/>
  <c r="G19" i="6"/>
  <c r="AQ10" i="6"/>
  <c r="M43" i="3"/>
  <c r="M42" i="3"/>
  <c r="M41" i="3"/>
  <c r="M40" i="3"/>
  <c r="M44" i="3"/>
  <c r="L2" i="8"/>
  <c r="K2" i="8"/>
  <c r="Y30" i="3"/>
  <c r="V46" i="3" s="1"/>
  <c r="W46" i="3" s="1"/>
  <c r="O46" i="3" l="1"/>
  <c r="W43" i="3"/>
  <c r="W49" i="3" s="1"/>
  <c r="V49" i="3"/>
  <c r="M46" i="3"/>
  <c r="Z24" i="5"/>
  <c r="X24" i="5"/>
  <c r="Y4" i="5"/>
  <c r="Y5" i="5"/>
  <c r="Y6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3" i="5"/>
  <c r="Q50" i="5"/>
  <c r="Y24" i="5" l="1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3" i="5"/>
  <c r="P50" i="5" s="1"/>
  <c r="O50" i="5"/>
  <c r="AO81" i="2" l="1"/>
  <c r="AM81" i="2"/>
  <c r="AN80" i="2"/>
  <c r="AN79" i="2"/>
  <c r="AN78" i="2"/>
  <c r="AN77" i="2"/>
  <c r="AN76" i="2"/>
  <c r="AN75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65" i="2"/>
  <c r="AN66" i="2"/>
  <c r="AN67" i="2"/>
  <c r="AN68" i="2"/>
  <c r="AN69" i="2"/>
  <c r="AN70" i="2"/>
  <c r="AN71" i="2"/>
  <c r="AN72" i="2"/>
  <c r="AN73" i="2"/>
  <c r="AN74" i="2"/>
  <c r="AN3" i="2"/>
  <c r="AL87" i="2" l="1"/>
  <c r="AL86" i="2"/>
  <c r="AL85" i="2"/>
  <c r="AL84" i="2"/>
  <c r="AL88" i="2" s="1"/>
  <c r="AN86" i="2"/>
  <c r="AN87" i="2"/>
  <c r="AN84" i="2"/>
  <c r="AN85" i="2"/>
  <c r="AN81" i="2"/>
  <c r="AF93" i="2"/>
  <c r="AD9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3" i="2"/>
  <c r="W98" i="2"/>
  <c r="N44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3" i="2"/>
  <c r="H38" i="5"/>
  <c r="F38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" i="5"/>
  <c r="U98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3" i="2"/>
  <c r="AB100" i="2" l="1"/>
  <c r="AB98" i="2"/>
  <c r="AB99" i="2"/>
  <c r="AB97" i="2"/>
  <c r="AB96" i="2"/>
  <c r="AN88" i="2"/>
  <c r="S109" i="2"/>
  <c r="S104" i="2"/>
  <c r="S106" i="2"/>
  <c r="S107" i="2"/>
  <c r="S108" i="2"/>
  <c r="S103" i="2"/>
  <c r="S105" i="2"/>
  <c r="U109" i="2"/>
  <c r="U107" i="2"/>
  <c r="U104" i="2"/>
  <c r="U103" i="2"/>
  <c r="U106" i="2"/>
  <c r="U108" i="2"/>
  <c r="U105" i="2"/>
  <c r="AD97" i="2"/>
  <c r="AD96" i="2"/>
  <c r="AD100" i="2"/>
  <c r="AD98" i="2"/>
  <c r="AD99" i="2"/>
  <c r="G38" i="5"/>
  <c r="M44" i="2"/>
  <c r="B4" i="2"/>
  <c r="L50" i="2"/>
  <c r="L49" i="2"/>
  <c r="L47" i="2"/>
  <c r="L48" i="2"/>
  <c r="D4" i="2"/>
  <c r="AE93" i="2"/>
  <c r="V98" i="2"/>
  <c r="C10" i="2" l="1"/>
  <c r="C8" i="2"/>
  <c r="C9" i="2"/>
  <c r="C11" i="2"/>
  <c r="C7" i="2"/>
  <c r="C5" i="2"/>
  <c r="C6" i="2"/>
  <c r="AD101" i="2"/>
  <c r="S110" i="2"/>
  <c r="E9" i="2"/>
  <c r="E8" i="2"/>
  <c r="E10" i="2"/>
  <c r="E7" i="2"/>
  <c r="E11" i="2"/>
  <c r="E5" i="2"/>
  <c r="E6" i="2"/>
  <c r="U110" i="2"/>
  <c r="AB101" i="2"/>
  <c r="L51" i="2"/>
  <c r="E4" i="2" l="1"/>
  <c r="C4" i="2"/>
</calcChain>
</file>

<file path=xl/sharedStrings.xml><?xml version="1.0" encoding="utf-8"?>
<sst xmlns="http://schemas.openxmlformats.org/spreadsheetml/2006/main" count="1964" uniqueCount="105">
  <si>
    <t>ID</t>
  </si>
  <si>
    <t>m3 ddt2014</t>
  </si>
  <si>
    <t>sous bv</t>
  </si>
  <si>
    <t>Typologie</t>
  </si>
  <si>
    <t>hdigue</t>
  </si>
  <si>
    <t>superficiesuperficie</t>
  </si>
  <si>
    <t>Jointine</t>
  </si>
  <si>
    <t>UT5b</t>
  </si>
  <si>
    <t>&lt;18</t>
  </si>
  <si>
    <t>duzon median</t>
  </si>
  <si>
    <t>VT5a</t>
  </si>
  <si>
    <t>haut duzon</t>
  </si>
  <si>
    <t>FT3</t>
  </si>
  <si>
    <t>&lt;2</t>
  </si>
  <si>
    <t>DT3</t>
  </si>
  <si>
    <t>&lt;1</t>
  </si>
  <si>
    <t>VT5b</t>
  </si>
  <si>
    <t>CT3</t>
  </si>
  <si>
    <t>bas duzon</t>
  </si>
  <si>
    <t>ormèze</t>
  </si>
  <si>
    <t>&lt;5</t>
  </si>
  <si>
    <t>&lt;6</t>
  </si>
  <si>
    <t>???</t>
  </si>
  <si>
    <t>&lt;3</t>
  </si>
  <si>
    <t>&lt;4</t>
  </si>
  <si>
    <t>eal</t>
  </si>
  <si>
    <t>sialle</t>
  </si>
  <si>
    <t>Eal</t>
  </si>
  <si>
    <t>IT2</t>
  </si>
  <si>
    <t>&lt;8</t>
  </si>
  <si>
    <t>Choisine</t>
  </si>
  <si>
    <t>&lt;10</t>
  </si>
  <si>
    <t>&lt;9</t>
  </si>
  <si>
    <t>&lt;7</t>
  </si>
  <si>
    <t>PT4</t>
  </si>
  <si>
    <t>QT4</t>
  </si>
  <si>
    <t>&lt;15</t>
  </si>
  <si>
    <t>&lt;20</t>
  </si>
  <si>
    <t>&lt;12</t>
  </si>
  <si>
    <t>d&lt;3</t>
  </si>
  <si>
    <t>&lt;</t>
  </si>
  <si>
    <t>y=3,4216x-181,4</t>
  </si>
  <si>
    <t>Estimation finale</t>
  </si>
  <si>
    <t>Total</t>
  </si>
  <si>
    <t>Estimation retenue</t>
  </si>
  <si>
    <t>Protocole d'estimation des volumes de retenues</t>
  </si>
  <si>
    <r>
      <rPr>
        <b/>
        <sz val="11"/>
        <color theme="1"/>
        <rFont val="Calibri"/>
        <family val="2"/>
        <scheme val="minor"/>
      </rPr>
      <t>3/</t>
    </r>
    <r>
      <rPr>
        <sz val="11"/>
        <color theme="1"/>
        <rFont val="Calibri"/>
        <family val="2"/>
        <scheme val="minor"/>
      </rPr>
      <t xml:space="preserve"> Attribution des volumes pour les </t>
    </r>
    <r>
      <rPr>
        <b/>
        <sz val="11"/>
        <color theme="1"/>
        <rFont val="Calibri"/>
        <family val="2"/>
        <scheme val="minor"/>
      </rPr>
      <t>retenues de superficie inférieure à 75 m²</t>
    </r>
    <r>
      <rPr>
        <sz val="11"/>
        <color theme="1"/>
        <rFont val="Calibri"/>
        <family val="2"/>
        <scheme val="minor"/>
      </rPr>
      <t xml:space="preserve"> :
Dans la formule (cf graphe ci-dessus) V = 3,4216 X S - 181,4 :
Si S &lt; 53 alors V &lt; 0
Si 53 &lt; S &lt; 75 alors V &lt; S
=&gt; </t>
    </r>
    <r>
      <rPr>
        <b/>
        <sz val="11"/>
        <color theme="1"/>
        <rFont val="Calibri"/>
        <family val="2"/>
        <scheme val="minor"/>
      </rPr>
      <t>Si S &lt; 75m² alors S = V</t>
    </r>
  </si>
  <si>
    <t>1/ Donnée volume existant : utilisation de la donnée (sauf quand la Superficie DDT différe de + ou - 35 % de la superficie Qgis)</t>
  </si>
  <si>
    <t>DUZON</t>
  </si>
  <si>
    <t>Superficie</t>
  </si>
  <si>
    <t>Volume</t>
  </si>
  <si>
    <t>Localisation, nombre et typologie validés</t>
  </si>
  <si>
    <t>Localisation, nombre et typologie non validés</t>
  </si>
  <si>
    <t>h en m ddt</t>
  </si>
  <si>
    <t>superficie</t>
  </si>
  <si>
    <t>sous BV</t>
  </si>
  <si>
    <t>Daronne amont</t>
  </si>
  <si>
    <t>Sous BV</t>
  </si>
  <si>
    <t>typologie</t>
  </si>
  <si>
    <t>Vivance</t>
  </si>
  <si>
    <t>BV EVP</t>
  </si>
  <si>
    <t>Daronne aval</t>
  </si>
  <si>
    <t>Volume stocké en m3</t>
  </si>
  <si>
    <t>Bassin versant EVP</t>
  </si>
  <si>
    <r>
      <rPr>
        <b/>
        <sz val="11"/>
        <color theme="1"/>
        <rFont val="Calibri"/>
        <family val="2"/>
        <scheme val="minor"/>
      </rPr>
      <t>2/ Donnée volume non existant : Utilisation de la relation Volume/Superficie</t>
    </r>
    <r>
      <rPr>
        <sz val="11"/>
        <color theme="1"/>
        <rFont val="Calibri"/>
        <family val="2"/>
        <scheme val="minor"/>
      </rPr>
      <t xml:space="preserve"> =&gt; équation linéaire V = 3,4216 X S - 181,4 (cf courbe ci-dessous ou tableur recensement retenue 218 calcul volume vf),
(source données volume : DDT07, Questionnaire 2018 ; données superficie : Qgis).</t>
    </r>
  </si>
  <si>
    <t>Superficie en m²</t>
  </si>
  <si>
    <t>Bassin versant</t>
  </si>
  <si>
    <t>Duzon</t>
  </si>
  <si>
    <t>Daronne</t>
  </si>
  <si>
    <t>HV Doux</t>
  </si>
  <si>
    <t>MV Doux</t>
  </si>
  <si>
    <t>BaV Doux</t>
  </si>
  <si>
    <t>Haut Duzon</t>
  </si>
  <si>
    <t>Duzon médian</t>
  </si>
  <si>
    <t>Bas Duzon</t>
  </si>
  <si>
    <t>Ormèze</t>
  </si>
  <si>
    <t>Basse vallée Doux aval</t>
  </si>
  <si>
    <t>Hauteur digue</t>
  </si>
  <si>
    <t>douce plage</t>
  </si>
  <si>
    <t>Beauze</t>
  </si>
  <si>
    <t>Doux</t>
  </si>
  <si>
    <t>Sialle</t>
  </si>
  <si>
    <t>Sumène</t>
  </si>
  <si>
    <t>Condoie</t>
  </si>
  <si>
    <t>Grozon</t>
  </si>
  <si>
    <t>Hdigue</t>
  </si>
  <si>
    <t>SAPET substitution</t>
  </si>
  <si>
    <t>Gamon substitution</t>
  </si>
  <si>
    <t>MV Doux aval</t>
  </si>
  <si>
    <t>MV Doux amont</t>
  </si>
  <si>
    <t>Douzet</t>
  </si>
  <si>
    <t>Ayguenere</t>
  </si>
  <si>
    <t>Effangeas</t>
  </si>
  <si>
    <t>Perrier</t>
  </si>
  <si>
    <t>Taillares</t>
  </si>
  <si>
    <t>Haut Doux</t>
  </si>
  <si>
    <t>volume</t>
  </si>
  <si>
    <t>% superficie</t>
  </si>
  <si>
    <t>% volume</t>
  </si>
  <si>
    <t>VT5</t>
  </si>
  <si>
    <t>UT5</t>
  </si>
  <si>
    <t>Superficie %</t>
  </si>
  <si>
    <t>Volume %</t>
  </si>
  <si>
    <t>retenue caractérisée</t>
  </si>
  <si>
    <t>AT1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</si>
</sst>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3" fontId="0" fillId="0" borderId="0" xfId="0" applyNumberFormat="1" applyBorder="1" applyAlignment="1">
      <alignment vertical="center" wrapText="1"/>
    </xf>
    <xf numFmtId="0" fontId="0" fillId="0" borderId="0" xfId="0" applyBorder="1"/>
    <xf numFmtId="0" fontId="0" fillId="0" borderId="3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Border="1"/>
    <xf numFmtId="0" fontId="0" fillId="0" borderId="0" xfId="0" applyAlignment="1">
      <alignment horizontal="center"/>
    </xf>
    <xf numFmtId="0" fontId="0" fillId="0" borderId="4" xfId="0" applyBorder="1" applyAlignment="1">
      <alignment vertical="center" wrapText="1"/>
    </xf>
    <xf numFmtId="0" fontId="0" fillId="0" borderId="5" xfId="0" applyBorder="1"/>
    <xf numFmtId="0" fontId="0" fillId="2" borderId="2" xfId="0" applyFill="1" applyBorder="1" applyAlignment="1">
      <alignment vertical="center" wrapText="1"/>
    </xf>
    <xf numFmtId="0" fontId="0" fillId="2" borderId="2" xfId="0" applyFill="1" applyBorder="1"/>
    <xf numFmtId="3" fontId="0" fillId="2" borderId="2" xfId="0" applyNumberFormat="1" applyFill="1" applyBorder="1"/>
    <xf numFmtId="0" fontId="0" fillId="2" borderId="5" xfId="0" applyFill="1" applyBorder="1"/>
    <xf numFmtId="0" fontId="0" fillId="0" borderId="6" xfId="0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2" xfId="0" applyFill="1" applyBorder="1"/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3" fontId="0" fillId="0" borderId="9" xfId="0" applyNumberForma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 wrapText="1"/>
    </xf>
    <xf numFmtId="2" fontId="0" fillId="2" borderId="2" xfId="0" applyNumberFormat="1" applyFill="1" applyBorder="1"/>
    <xf numFmtId="0" fontId="0" fillId="0" borderId="0" xfId="0" applyAlignment="1"/>
    <xf numFmtId="0" fontId="0" fillId="2" borderId="1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0" borderId="2" xfId="0" applyBorder="1" applyAlignment="1"/>
    <xf numFmtId="0" fontId="1" fillId="0" borderId="2" xfId="0" applyFont="1" applyBorder="1"/>
    <xf numFmtId="3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0" fillId="0" borderId="2" xfId="0" applyNumberFormat="1" applyBorder="1"/>
    <xf numFmtId="0" fontId="0" fillId="0" borderId="9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0" xfId="0" applyFill="1" applyBorder="1"/>
    <xf numFmtId="0" fontId="0" fillId="0" borderId="5" xfId="0" applyFill="1" applyBorder="1"/>
    <xf numFmtId="0" fontId="0" fillId="0" borderId="12" xfId="0" applyFill="1" applyBorder="1"/>
    <xf numFmtId="0" fontId="0" fillId="0" borderId="12" xfId="0" applyBorder="1"/>
    <xf numFmtId="0" fontId="0" fillId="0" borderId="0" xfId="0" applyFill="1"/>
    <xf numFmtId="0" fontId="5" fillId="0" borderId="2" xfId="0" applyFont="1" applyBorder="1"/>
    <xf numFmtId="0" fontId="0" fillId="0" borderId="0" xfId="0" applyFill="1" applyBorder="1"/>
    <xf numFmtId="0" fontId="0" fillId="2" borderId="0" xfId="0" applyFill="1"/>
    <xf numFmtId="0" fontId="0" fillId="2" borderId="2" xfId="0" applyFill="1" applyBorder="1" applyAlignment="1"/>
    <xf numFmtId="3" fontId="0" fillId="0" borderId="4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Volume/Superficie</c:v>
          </c:tx>
          <c:spPr>
            <a:ln w="28575">
              <a:noFill/>
            </a:ln>
          </c:spPr>
          <c:trendline>
            <c:name>courbe de tendance linéaire</c:nam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'[1]Test equation Volume'!$U$398:$U$587</c:f>
              <c:numCache>
                <c:formatCode>General</c:formatCode>
                <c:ptCount val="190"/>
                <c:pt idx="0">
                  <c:v>533</c:v>
                </c:pt>
                <c:pt idx="1">
                  <c:v>644</c:v>
                </c:pt>
                <c:pt idx="2">
                  <c:v>4007</c:v>
                </c:pt>
                <c:pt idx="3">
                  <c:v>3021</c:v>
                </c:pt>
                <c:pt idx="4">
                  <c:v>1357</c:v>
                </c:pt>
                <c:pt idx="5">
                  <c:v>2533</c:v>
                </c:pt>
                <c:pt idx="6">
                  <c:v>530</c:v>
                </c:pt>
                <c:pt idx="7">
                  <c:v>1750</c:v>
                </c:pt>
                <c:pt idx="8">
                  <c:v>1365</c:v>
                </c:pt>
                <c:pt idx="9">
                  <c:v>1116</c:v>
                </c:pt>
                <c:pt idx="10">
                  <c:v>3146</c:v>
                </c:pt>
                <c:pt idx="11">
                  <c:v>1843</c:v>
                </c:pt>
                <c:pt idx="12">
                  <c:v>3783</c:v>
                </c:pt>
                <c:pt idx="13">
                  <c:v>2032</c:v>
                </c:pt>
                <c:pt idx="14">
                  <c:v>2076</c:v>
                </c:pt>
                <c:pt idx="15">
                  <c:v>2665</c:v>
                </c:pt>
                <c:pt idx="16">
                  <c:v>2707</c:v>
                </c:pt>
                <c:pt idx="17">
                  <c:v>1671</c:v>
                </c:pt>
                <c:pt idx="18">
                  <c:v>1603</c:v>
                </c:pt>
                <c:pt idx="19">
                  <c:v>1470</c:v>
                </c:pt>
                <c:pt idx="20">
                  <c:v>218</c:v>
                </c:pt>
                <c:pt idx="21">
                  <c:v>1777</c:v>
                </c:pt>
                <c:pt idx="22">
                  <c:v>1076</c:v>
                </c:pt>
                <c:pt idx="23">
                  <c:v>1181</c:v>
                </c:pt>
                <c:pt idx="24">
                  <c:v>3014</c:v>
                </c:pt>
                <c:pt idx="25">
                  <c:v>2000</c:v>
                </c:pt>
                <c:pt idx="26">
                  <c:v>1100</c:v>
                </c:pt>
                <c:pt idx="27">
                  <c:v>9691</c:v>
                </c:pt>
                <c:pt idx="28">
                  <c:v>1878</c:v>
                </c:pt>
                <c:pt idx="29">
                  <c:v>1190</c:v>
                </c:pt>
                <c:pt idx="30">
                  <c:v>491</c:v>
                </c:pt>
                <c:pt idx="31">
                  <c:v>3319</c:v>
                </c:pt>
                <c:pt idx="32">
                  <c:v>229</c:v>
                </c:pt>
                <c:pt idx="33">
                  <c:v>987</c:v>
                </c:pt>
                <c:pt idx="34">
                  <c:v>699</c:v>
                </c:pt>
                <c:pt idx="35">
                  <c:v>1391</c:v>
                </c:pt>
                <c:pt idx="36">
                  <c:v>675</c:v>
                </c:pt>
                <c:pt idx="37">
                  <c:v>1591</c:v>
                </c:pt>
                <c:pt idx="38">
                  <c:v>2475</c:v>
                </c:pt>
                <c:pt idx="39">
                  <c:v>775</c:v>
                </c:pt>
                <c:pt idx="40">
                  <c:v>1123</c:v>
                </c:pt>
                <c:pt idx="41">
                  <c:v>2098</c:v>
                </c:pt>
                <c:pt idx="42">
                  <c:v>1321</c:v>
                </c:pt>
                <c:pt idx="43">
                  <c:v>787</c:v>
                </c:pt>
                <c:pt idx="44">
                  <c:v>1031</c:v>
                </c:pt>
                <c:pt idx="45">
                  <c:v>273</c:v>
                </c:pt>
                <c:pt idx="46">
                  <c:v>1437</c:v>
                </c:pt>
                <c:pt idx="47">
                  <c:v>486</c:v>
                </c:pt>
                <c:pt idx="48">
                  <c:v>683</c:v>
                </c:pt>
                <c:pt idx="49">
                  <c:v>313</c:v>
                </c:pt>
                <c:pt idx="50">
                  <c:v>5792</c:v>
                </c:pt>
                <c:pt idx="51">
                  <c:v>515</c:v>
                </c:pt>
                <c:pt idx="52">
                  <c:v>980</c:v>
                </c:pt>
                <c:pt idx="53">
                  <c:v>3563</c:v>
                </c:pt>
                <c:pt idx="54">
                  <c:v>625</c:v>
                </c:pt>
                <c:pt idx="55">
                  <c:v>1955</c:v>
                </c:pt>
                <c:pt idx="56">
                  <c:v>846</c:v>
                </c:pt>
                <c:pt idx="57">
                  <c:v>5485</c:v>
                </c:pt>
                <c:pt idx="58">
                  <c:v>734</c:v>
                </c:pt>
                <c:pt idx="59">
                  <c:v>1124</c:v>
                </c:pt>
                <c:pt idx="60">
                  <c:v>1050</c:v>
                </c:pt>
                <c:pt idx="61">
                  <c:v>1602</c:v>
                </c:pt>
                <c:pt idx="62">
                  <c:v>1099</c:v>
                </c:pt>
                <c:pt idx="63">
                  <c:v>4704</c:v>
                </c:pt>
                <c:pt idx="64">
                  <c:v>2844</c:v>
                </c:pt>
                <c:pt idx="65">
                  <c:v>4021</c:v>
                </c:pt>
                <c:pt idx="66">
                  <c:v>6624</c:v>
                </c:pt>
                <c:pt idx="67">
                  <c:v>860</c:v>
                </c:pt>
                <c:pt idx="68">
                  <c:v>471</c:v>
                </c:pt>
                <c:pt idx="69">
                  <c:v>1787</c:v>
                </c:pt>
                <c:pt idx="70">
                  <c:v>592</c:v>
                </c:pt>
                <c:pt idx="71">
                  <c:v>712</c:v>
                </c:pt>
                <c:pt idx="72">
                  <c:v>2286</c:v>
                </c:pt>
                <c:pt idx="73">
                  <c:v>819</c:v>
                </c:pt>
                <c:pt idx="74">
                  <c:v>851</c:v>
                </c:pt>
                <c:pt idx="75">
                  <c:v>247</c:v>
                </c:pt>
                <c:pt idx="76">
                  <c:v>343</c:v>
                </c:pt>
                <c:pt idx="77">
                  <c:v>1557</c:v>
                </c:pt>
                <c:pt idx="78">
                  <c:v>586</c:v>
                </c:pt>
                <c:pt idx="79">
                  <c:v>4725</c:v>
                </c:pt>
                <c:pt idx="80">
                  <c:v>3539</c:v>
                </c:pt>
                <c:pt idx="81">
                  <c:v>236</c:v>
                </c:pt>
                <c:pt idx="82">
                  <c:v>816</c:v>
                </c:pt>
                <c:pt idx="83">
                  <c:v>973</c:v>
                </c:pt>
                <c:pt idx="84">
                  <c:v>2250</c:v>
                </c:pt>
                <c:pt idx="85">
                  <c:v>2366</c:v>
                </c:pt>
                <c:pt idx="86">
                  <c:v>450</c:v>
                </c:pt>
                <c:pt idx="87">
                  <c:v>87</c:v>
                </c:pt>
                <c:pt idx="88">
                  <c:v>479</c:v>
                </c:pt>
                <c:pt idx="89">
                  <c:v>2763</c:v>
                </c:pt>
                <c:pt idx="90">
                  <c:v>3063</c:v>
                </c:pt>
                <c:pt idx="91">
                  <c:v>5448</c:v>
                </c:pt>
                <c:pt idx="92">
                  <c:v>188</c:v>
                </c:pt>
                <c:pt idx="93">
                  <c:v>2139</c:v>
                </c:pt>
                <c:pt idx="94">
                  <c:v>1114</c:v>
                </c:pt>
                <c:pt idx="95">
                  <c:v>1589</c:v>
                </c:pt>
                <c:pt idx="96">
                  <c:v>2434</c:v>
                </c:pt>
                <c:pt idx="97">
                  <c:v>3182</c:v>
                </c:pt>
                <c:pt idx="98">
                  <c:v>750</c:v>
                </c:pt>
                <c:pt idx="99">
                  <c:v>1011</c:v>
                </c:pt>
                <c:pt idx="100">
                  <c:v>1463</c:v>
                </c:pt>
                <c:pt idx="101">
                  <c:v>2260</c:v>
                </c:pt>
                <c:pt idx="102">
                  <c:v>683</c:v>
                </c:pt>
                <c:pt idx="103">
                  <c:v>537</c:v>
                </c:pt>
                <c:pt idx="104">
                  <c:v>1040</c:v>
                </c:pt>
                <c:pt idx="105">
                  <c:v>1561</c:v>
                </c:pt>
                <c:pt idx="106">
                  <c:v>750</c:v>
                </c:pt>
                <c:pt idx="107">
                  <c:v>7481</c:v>
                </c:pt>
                <c:pt idx="108">
                  <c:v>2215</c:v>
                </c:pt>
                <c:pt idx="109">
                  <c:v>3204</c:v>
                </c:pt>
                <c:pt idx="110">
                  <c:v>835</c:v>
                </c:pt>
                <c:pt idx="111">
                  <c:v>2675</c:v>
                </c:pt>
                <c:pt idx="112">
                  <c:v>1368</c:v>
                </c:pt>
                <c:pt idx="113">
                  <c:v>1656</c:v>
                </c:pt>
                <c:pt idx="114">
                  <c:v>2958</c:v>
                </c:pt>
                <c:pt idx="115">
                  <c:v>668</c:v>
                </c:pt>
                <c:pt idx="116">
                  <c:v>1637</c:v>
                </c:pt>
                <c:pt idx="117">
                  <c:v>397</c:v>
                </c:pt>
                <c:pt idx="118">
                  <c:v>1280</c:v>
                </c:pt>
                <c:pt idx="119">
                  <c:v>184</c:v>
                </c:pt>
                <c:pt idx="120">
                  <c:v>875</c:v>
                </c:pt>
                <c:pt idx="121">
                  <c:v>759</c:v>
                </c:pt>
                <c:pt idx="122">
                  <c:v>1555</c:v>
                </c:pt>
                <c:pt idx="123">
                  <c:v>740</c:v>
                </c:pt>
                <c:pt idx="124">
                  <c:v>1698</c:v>
                </c:pt>
                <c:pt idx="125">
                  <c:v>225</c:v>
                </c:pt>
                <c:pt idx="126">
                  <c:v>433</c:v>
                </c:pt>
                <c:pt idx="127">
                  <c:v>208</c:v>
                </c:pt>
                <c:pt idx="128">
                  <c:v>1843</c:v>
                </c:pt>
                <c:pt idx="129">
                  <c:v>1791</c:v>
                </c:pt>
                <c:pt idx="130">
                  <c:v>1347</c:v>
                </c:pt>
                <c:pt idx="131">
                  <c:v>1776</c:v>
                </c:pt>
                <c:pt idx="132">
                  <c:v>1133</c:v>
                </c:pt>
                <c:pt idx="133">
                  <c:v>530</c:v>
                </c:pt>
                <c:pt idx="134">
                  <c:v>1288</c:v>
                </c:pt>
                <c:pt idx="135">
                  <c:v>3048</c:v>
                </c:pt>
                <c:pt idx="136">
                  <c:v>1973</c:v>
                </c:pt>
                <c:pt idx="137">
                  <c:v>2521</c:v>
                </c:pt>
                <c:pt idx="138">
                  <c:v>2476</c:v>
                </c:pt>
                <c:pt idx="139">
                  <c:v>3721</c:v>
                </c:pt>
                <c:pt idx="140">
                  <c:v>4261</c:v>
                </c:pt>
                <c:pt idx="141">
                  <c:v>870</c:v>
                </c:pt>
                <c:pt idx="142">
                  <c:v>5473</c:v>
                </c:pt>
                <c:pt idx="143">
                  <c:v>1024</c:v>
                </c:pt>
                <c:pt idx="144">
                  <c:v>367</c:v>
                </c:pt>
                <c:pt idx="145">
                  <c:v>4872</c:v>
                </c:pt>
                <c:pt idx="146">
                  <c:v>3536</c:v>
                </c:pt>
                <c:pt idx="147">
                  <c:v>640</c:v>
                </c:pt>
                <c:pt idx="148">
                  <c:v>1219</c:v>
                </c:pt>
                <c:pt idx="149">
                  <c:v>698</c:v>
                </c:pt>
                <c:pt idx="150">
                  <c:v>575</c:v>
                </c:pt>
                <c:pt idx="151">
                  <c:v>107</c:v>
                </c:pt>
                <c:pt idx="152">
                  <c:v>960</c:v>
                </c:pt>
                <c:pt idx="153">
                  <c:v>1693</c:v>
                </c:pt>
                <c:pt idx="154">
                  <c:v>2002</c:v>
                </c:pt>
                <c:pt idx="155">
                  <c:v>1099</c:v>
                </c:pt>
                <c:pt idx="156">
                  <c:v>2120</c:v>
                </c:pt>
                <c:pt idx="157">
                  <c:v>4782</c:v>
                </c:pt>
                <c:pt idx="158">
                  <c:v>289</c:v>
                </c:pt>
                <c:pt idx="159">
                  <c:v>326</c:v>
                </c:pt>
                <c:pt idx="160">
                  <c:v>3539</c:v>
                </c:pt>
                <c:pt idx="161">
                  <c:v>1733</c:v>
                </c:pt>
                <c:pt idx="162">
                  <c:v>863</c:v>
                </c:pt>
                <c:pt idx="163">
                  <c:v>2069</c:v>
                </c:pt>
                <c:pt idx="164">
                  <c:v>1782</c:v>
                </c:pt>
                <c:pt idx="165">
                  <c:v>523</c:v>
                </c:pt>
                <c:pt idx="166">
                  <c:v>1554</c:v>
                </c:pt>
                <c:pt idx="167">
                  <c:v>987</c:v>
                </c:pt>
                <c:pt idx="168">
                  <c:v>1064</c:v>
                </c:pt>
                <c:pt idx="169">
                  <c:v>1407</c:v>
                </c:pt>
                <c:pt idx="170">
                  <c:v>4523</c:v>
                </c:pt>
                <c:pt idx="171">
                  <c:v>220</c:v>
                </c:pt>
                <c:pt idx="172">
                  <c:v>126</c:v>
                </c:pt>
                <c:pt idx="173">
                  <c:v>441</c:v>
                </c:pt>
                <c:pt idx="174">
                  <c:v>188</c:v>
                </c:pt>
                <c:pt idx="175">
                  <c:v>3850</c:v>
                </c:pt>
                <c:pt idx="176">
                  <c:v>776</c:v>
                </c:pt>
                <c:pt idx="177">
                  <c:v>1090</c:v>
                </c:pt>
                <c:pt idx="178">
                  <c:v>657</c:v>
                </c:pt>
                <c:pt idx="179">
                  <c:v>678</c:v>
                </c:pt>
                <c:pt idx="180">
                  <c:v>2491</c:v>
                </c:pt>
                <c:pt idx="181">
                  <c:v>474</c:v>
                </c:pt>
                <c:pt idx="182">
                  <c:v>497</c:v>
                </c:pt>
                <c:pt idx="183">
                  <c:v>1057</c:v>
                </c:pt>
                <c:pt idx="184">
                  <c:v>594</c:v>
                </c:pt>
                <c:pt idx="185">
                  <c:v>1796</c:v>
                </c:pt>
                <c:pt idx="186">
                  <c:v>897</c:v>
                </c:pt>
                <c:pt idx="187">
                  <c:v>529</c:v>
                </c:pt>
                <c:pt idx="188">
                  <c:v>255</c:v>
                </c:pt>
                <c:pt idx="189">
                  <c:v>878</c:v>
                </c:pt>
              </c:numCache>
            </c:numRef>
          </c:xVal>
          <c:yVal>
            <c:numRef>
              <c:f>'[1]Test equation Volume'!$X$398:$X$587</c:f>
              <c:numCache>
                <c:formatCode>General</c:formatCode>
                <c:ptCount val="190"/>
                <c:pt idx="0">
                  <c:v>2000</c:v>
                </c:pt>
                <c:pt idx="1">
                  <c:v>400</c:v>
                </c:pt>
                <c:pt idx="2">
                  <c:v>15000</c:v>
                </c:pt>
                <c:pt idx="3">
                  <c:v>9000</c:v>
                </c:pt>
                <c:pt idx="4">
                  <c:v>10000</c:v>
                </c:pt>
                <c:pt idx="5">
                  <c:v>10000</c:v>
                </c:pt>
                <c:pt idx="6">
                  <c:v>1600</c:v>
                </c:pt>
                <c:pt idx="7">
                  <c:v>12000</c:v>
                </c:pt>
                <c:pt idx="8">
                  <c:v>3000</c:v>
                </c:pt>
                <c:pt idx="9">
                  <c:v>1470</c:v>
                </c:pt>
                <c:pt idx="10">
                  <c:v>9000</c:v>
                </c:pt>
                <c:pt idx="11">
                  <c:v>3000</c:v>
                </c:pt>
                <c:pt idx="12">
                  <c:v>22000</c:v>
                </c:pt>
                <c:pt idx="13">
                  <c:v>15000</c:v>
                </c:pt>
                <c:pt idx="14">
                  <c:v>5000</c:v>
                </c:pt>
                <c:pt idx="15">
                  <c:v>20000</c:v>
                </c:pt>
                <c:pt idx="16">
                  <c:v>8000</c:v>
                </c:pt>
                <c:pt idx="17">
                  <c:v>10000</c:v>
                </c:pt>
                <c:pt idx="18">
                  <c:v>3500</c:v>
                </c:pt>
                <c:pt idx="19">
                  <c:v>5000</c:v>
                </c:pt>
                <c:pt idx="20">
                  <c:v>720</c:v>
                </c:pt>
                <c:pt idx="21">
                  <c:v>5000</c:v>
                </c:pt>
                <c:pt idx="22">
                  <c:v>2800</c:v>
                </c:pt>
                <c:pt idx="23">
                  <c:v>5605</c:v>
                </c:pt>
                <c:pt idx="24">
                  <c:v>7000</c:v>
                </c:pt>
                <c:pt idx="25">
                  <c:v>8000</c:v>
                </c:pt>
                <c:pt idx="26">
                  <c:v>1500</c:v>
                </c:pt>
                <c:pt idx="27">
                  <c:v>31000</c:v>
                </c:pt>
                <c:pt idx="28">
                  <c:v>5500</c:v>
                </c:pt>
                <c:pt idx="29">
                  <c:v>1410</c:v>
                </c:pt>
                <c:pt idx="30">
                  <c:v>1400</c:v>
                </c:pt>
                <c:pt idx="31">
                  <c:v>12000</c:v>
                </c:pt>
                <c:pt idx="32">
                  <c:v>300</c:v>
                </c:pt>
                <c:pt idx="33">
                  <c:v>4000</c:v>
                </c:pt>
                <c:pt idx="34">
                  <c:v>1500</c:v>
                </c:pt>
                <c:pt idx="35">
                  <c:v>3200</c:v>
                </c:pt>
                <c:pt idx="36">
                  <c:v>2000</c:v>
                </c:pt>
                <c:pt idx="37">
                  <c:v>5000</c:v>
                </c:pt>
                <c:pt idx="38">
                  <c:v>10000</c:v>
                </c:pt>
                <c:pt idx="39">
                  <c:v>3600</c:v>
                </c:pt>
                <c:pt idx="40">
                  <c:v>2500</c:v>
                </c:pt>
                <c:pt idx="41">
                  <c:v>15000</c:v>
                </c:pt>
                <c:pt idx="42">
                  <c:v>3500</c:v>
                </c:pt>
                <c:pt idx="43">
                  <c:v>3600</c:v>
                </c:pt>
                <c:pt idx="44">
                  <c:v>5000</c:v>
                </c:pt>
                <c:pt idx="45">
                  <c:v>450</c:v>
                </c:pt>
                <c:pt idx="46">
                  <c:v>5400</c:v>
                </c:pt>
                <c:pt idx="47">
                  <c:v>800</c:v>
                </c:pt>
                <c:pt idx="48">
                  <c:v>800</c:v>
                </c:pt>
                <c:pt idx="49">
                  <c:v>800</c:v>
                </c:pt>
                <c:pt idx="50">
                  <c:v>20000</c:v>
                </c:pt>
                <c:pt idx="51">
                  <c:v>1125</c:v>
                </c:pt>
                <c:pt idx="52">
                  <c:v>1200</c:v>
                </c:pt>
                <c:pt idx="53">
                  <c:v>15000</c:v>
                </c:pt>
                <c:pt idx="54">
                  <c:v>1750</c:v>
                </c:pt>
                <c:pt idx="55">
                  <c:v>6336</c:v>
                </c:pt>
                <c:pt idx="56">
                  <c:v>2500</c:v>
                </c:pt>
                <c:pt idx="57">
                  <c:v>20000</c:v>
                </c:pt>
                <c:pt idx="58">
                  <c:v>3000</c:v>
                </c:pt>
                <c:pt idx="59">
                  <c:v>4000</c:v>
                </c:pt>
                <c:pt idx="60">
                  <c:v>4000</c:v>
                </c:pt>
                <c:pt idx="61">
                  <c:v>5000</c:v>
                </c:pt>
                <c:pt idx="62">
                  <c:v>5000</c:v>
                </c:pt>
                <c:pt idx="63">
                  <c:v>3312</c:v>
                </c:pt>
                <c:pt idx="64">
                  <c:v>4000</c:v>
                </c:pt>
                <c:pt idx="65">
                  <c:v>12600</c:v>
                </c:pt>
                <c:pt idx="66">
                  <c:v>20000</c:v>
                </c:pt>
                <c:pt idx="67">
                  <c:v>3000</c:v>
                </c:pt>
                <c:pt idx="68">
                  <c:v>500</c:v>
                </c:pt>
                <c:pt idx="69">
                  <c:v>6000</c:v>
                </c:pt>
                <c:pt idx="70">
                  <c:v>1500</c:v>
                </c:pt>
                <c:pt idx="71">
                  <c:v>2100</c:v>
                </c:pt>
                <c:pt idx="72">
                  <c:v>7000</c:v>
                </c:pt>
                <c:pt idx="73">
                  <c:v>2400</c:v>
                </c:pt>
                <c:pt idx="74">
                  <c:v>1250</c:v>
                </c:pt>
                <c:pt idx="75">
                  <c:v>600</c:v>
                </c:pt>
                <c:pt idx="76">
                  <c:v>1500</c:v>
                </c:pt>
                <c:pt idx="77">
                  <c:v>5000</c:v>
                </c:pt>
                <c:pt idx="78">
                  <c:v>1000</c:v>
                </c:pt>
                <c:pt idx="79">
                  <c:v>20000</c:v>
                </c:pt>
                <c:pt idx="80">
                  <c:v>15000</c:v>
                </c:pt>
                <c:pt idx="81">
                  <c:v>400</c:v>
                </c:pt>
                <c:pt idx="82">
                  <c:v>2000</c:v>
                </c:pt>
                <c:pt idx="83">
                  <c:v>1600</c:v>
                </c:pt>
                <c:pt idx="84">
                  <c:v>7000</c:v>
                </c:pt>
                <c:pt idx="85">
                  <c:v>11040</c:v>
                </c:pt>
                <c:pt idx="86">
                  <c:v>700</c:v>
                </c:pt>
                <c:pt idx="87">
                  <c:v>120</c:v>
                </c:pt>
                <c:pt idx="88">
                  <c:v>1300</c:v>
                </c:pt>
                <c:pt idx="89">
                  <c:v>8000</c:v>
                </c:pt>
                <c:pt idx="90">
                  <c:v>7500</c:v>
                </c:pt>
                <c:pt idx="91">
                  <c:v>18000</c:v>
                </c:pt>
                <c:pt idx="92">
                  <c:v>60</c:v>
                </c:pt>
                <c:pt idx="93">
                  <c:v>5000</c:v>
                </c:pt>
                <c:pt idx="94">
                  <c:v>3000</c:v>
                </c:pt>
                <c:pt idx="95">
                  <c:v>4000</c:v>
                </c:pt>
                <c:pt idx="96">
                  <c:v>9000</c:v>
                </c:pt>
                <c:pt idx="97">
                  <c:v>14000</c:v>
                </c:pt>
                <c:pt idx="98">
                  <c:v>3150</c:v>
                </c:pt>
                <c:pt idx="99">
                  <c:v>1600</c:v>
                </c:pt>
                <c:pt idx="100">
                  <c:v>6980</c:v>
                </c:pt>
                <c:pt idx="101">
                  <c:v>10000</c:v>
                </c:pt>
                <c:pt idx="102">
                  <c:v>3500</c:v>
                </c:pt>
                <c:pt idx="103">
                  <c:v>600</c:v>
                </c:pt>
                <c:pt idx="104">
                  <c:v>900</c:v>
                </c:pt>
                <c:pt idx="105">
                  <c:v>3000</c:v>
                </c:pt>
                <c:pt idx="106">
                  <c:v>1500</c:v>
                </c:pt>
                <c:pt idx="107">
                  <c:v>25000</c:v>
                </c:pt>
                <c:pt idx="108">
                  <c:v>3200</c:v>
                </c:pt>
                <c:pt idx="109">
                  <c:v>18000</c:v>
                </c:pt>
                <c:pt idx="110">
                  <c:v>2000</c:v>
                </c:pt>
                <c:pt idx="111">
                  <c:v>6000</c:v>
                </c:pt>
                <c:pt idx="112">
                  <c:v>4000</c:v>
                </c:pt>
                <c:pt idx="113">
                  <c:v>6000</c:v>
                </c:pt>
                <c:pt idx="114">
                  <c:v>6000</c:v>
                </c:pt>
                <c:pt idx="115">
                  <c:v>1020</c:v>
                </c:pt>
                <c:pt idx="116">
                  <c:v>5000</c:v>
                </c:pt>
                <c:pt idx="117">
                  <c:v>1200</c:v>
                </c:pt>
                <c:pt idx="118">
                  <c:v>3000</c:v>
                </c:pt>
                <c:pt idx="119">
                  <c:v>363</c:v>
                </c:pt>
                <c:pt idx="120">
                  <c:v>1800</c:v>
                </c:pt>
                <c:pt idx="121">
                  <c:v>100</c:v>
                </c:pt>
                <c:pt idx="122">
                  <c:v>7000</c:v>
                </c:pt>
                <c:pt idx="123">
                  <c:v>2000</c:v>
                </c:pt>
                <c:pt idx="124">
                  <c:v>6000</c:v>
                </c:pt>
                <c:pt idx="125">
                  <c:v>1200</c:v>
                </c:pt>
                <c:pt idx="126">
                  <c:v>2000</c:v>
                </c:pt>
                <c:pt idx="127">
                  <c:v>500</c:v>
                </c:pt>
                <c:pt idx="128">
                  <c:v>5400</c:v>
                </c:pt>
                <c:pt idx="129">
                  <c:v>3750</c:v>
                </c:pt>
                <c:pt idx="130">
                  <c:v>2800</c:v>
                </c:pt>
                <c:pt idx="131">
                  <c:v>4500</c:v>
                </c:pt>
                <c:pt idx="132">
                  <c:v>2000</c:v>
                </c:pt>
                <c:pt idx="133">
                  <c:v>3700</c:v>
                </c:pt>
                <c:pt idx="134">
                  <c:v>6216</c:v>
                </c:pt>
                <c:pt idx="135">
                  <c:v>10000</c:v>
                </c:pt>
                <c:pt idx="136">
                  <c:v>10000</c:v>
                </c:pt>
                <c:pt idx="137">
                  <c:v>12000</c:v>
                </c:pt>
                <c:pt idx="138">
                  <c:v>10000</c:v>
                </c:pt>
                <c:pt idx="139">
                  <c:v>15000</c:v>
                </c:pt>
                <c:pt idx="140">
                  <c:v>5000</c:v>
                </c:pt>
                <c:pt idx="141">
                  <c:v>4000</c:v>
                </c:pt>
                <c:pt idx="142">
                  <c:v>18000</c:v>
                </c:pt>
                <c:pt idx="143">
                  <c:v>1000</c:v>
                </c:pt>
                <c:pt idx="144">
                  <c:v>1300</c:v>
                </c:pt>
                <c:pt idx="145">
                  <c:v>16000</c:v>
                </c:pt>
                <c:pt idx="146">
                  <c:v>15000</c:v>
                </c:pt>
                <c:pt idx="147">
                  <c:v>1500</c:v>
                </c:pt>
                <c:pt idx="148">
                  <c:v>4000</c:v>
                </c:pt>
                <c:pt idx="149">
                  <c:v>400</c:v>
                </c:pt>
                <c:pt idx="150">
                  <c:v>3500</c:v>
                </c:pt>
                <c:pt idx="151">
                  <c:v>230</c:v>
                </c:pt>
                <c:pt idx="152">
                  <c:v>2500</c:v>
                </c:pt>
                <c:pt idx="153">
                  <c:v>6000</c:v>
                </c:pt>
                <c:pt idx="154">
                  <c:v>6300</c:v>
                </c:pt>
                <c:pt idx="155">
                  <c:v>2400</c:v>
                </c:pt>
                <c:pt idx="156">
                  <c:v>7900</c:v>
                </c:pt>
                <c:pt idx="157">
                  <c:v>17000</c:v>
                </c:pt>
                <c:pt idx="158">
                  <c:v>384</c:v>
                </c:pt>
                <c:pt idx="159">
                  <c:v>550</c:v>
                </c:pt>
                <c:pt idx="160">
                  <c:v>10000</c:v>
                </c:pt>
                <c:pt idx="161">
                  <c:v>8000</c:v>
                </c:pt>
                <c:pt idx="162">
                  <c:v>3000</c:v>
                </c:pt>
                <c:pt idx="163">
                  <c:v>6000</c:v>
                </c:pt>
                <c:pt idx="164">
                  <c:v>3500</c:v>
                </c:pt>
                <c:pt idx="165">
                  <c:v>1200</c:v>
                </c:pt>
                <c:pt idx="166">
                  <c:v>6300</c:v>
                </c:pt>
                <c:pt idx="167">
                  <c:v>5000</c:v>
                </c:pt>
                <c:pt idx="168">
                  <c:v>7000</c:v>
                </c:pt>
                <c:pt idx="169">
                  <c:v>4000</c:v>
                </c:pt>
                <c:pt idx="170">
                  <c:v>15000</c:v>
                </c:pt>
                <c:pt idx="171">
                  <c:v>624</c:v>
                </c:pt>
                <c:pt idx="172">
                  <c:v>330</c:v>
                </c:pt>
                <c:pt idx="173">
                  <c:v>500</c:v>
                </c:pt>
                <c:pt idx="174">
                  <c:v>1500</c:v>
                </c:pt>
                <c:pt idx="175">
                  <c:v>15000</c:v>
                </c:pt>
                <c:pt idx="176">
                  <c:v>6000</c:v>
                </c:pt>
                <c:pt idx="177">
                  <c:v>4000</c:v>
                </c:pt>
                <c:pt idx="178">
                  <c:v>3000</c:v>
                </c:pt>
                <c:pt idx="179">
                  <c:v>675</c:v>
                </c:pt>
                <c:pt idx="180">
                  <c:v>10500</c:v>
                </c:pt>
                <c:pt idx="181">
                  <c:v>800</c:v>
                </c:pt>
                <c:pt idx="182">
                  <c:v>400</c:v>
                </c:pt>
                <c:pt idx="183">
                  <c:v>2000</c:v>
                </c:pt>
                <c:pt idx="184">
                  <c:v>1350</c:v>
                </c:pt>
                <c:pt idx="185">
                  <c:v>3250</c:v>
                </c:pt>
                <c:pt idx="186">
                  <c:v>1000</c:v>
                </c:pt>
                <c:pt idx="187">
                  <c:v>700</c:v>
                </c:pt>
                <c:pt idx="188">
                  <c:v>600</c:v>
                </c:pt>
                <c:pt idx="189">
                  <c:v>1000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65C-4E27-A21D-3CC694A2F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54752"/>
        <c:axId val="136557632"/>
      </c:scatterChart>
      <c:valAx>
        <c:axId val="13655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557632"/>
        <c:crosses val="autoZero"/>
        <c:crossBetween val="midCat"/>
      </c:valAx>
      <c:valAx>
        <c:axId val="136557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554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</xdr:row>
      <xdr:rowOff>95250</xdr:rowOff>
    </xdr:from>
    <xdr:to>
      <xdr:col>12</xdr:col>
      <xdr:colOff>609600</xdr:colOff>
      <xdr:row>34</xdr:row>
      <xdr:rowOff>104775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ensement%20retenue%202018%20calcul%20volume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ux"/>
      <sheetName val="Daronne"/>
      <sheetName val="Duzon"/>
      <sheetName val="Basse vallée"/>
      <sheetName val="Moyenne vallée"/>
      <sheetName val="Haute vallée"/>
      <sheetName val="Test equation Volume"/>
      <sheetName val="&lt;10 000"/>
      <sheetName val="&gt;10000"/>
      <sheetName val="Feuil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98">
          <cell r="U398">
            <v>533</v>
          </cell>
          <cell r="X398">
            <v>2000</v>
          </cell>
        </row>
        <row r="399">
          <cell r="U399">
            <v>644</v>
          </cell>
          <cell r="X399">
            <v>400</v>
          </cell>
        </row>
        <row r="400">
          <cell r="U400">
            <v>4007</v>
          </cell>
          <cell r="X400">
            <v>15000</v>
          </cell>
        </row>
        <row r="401">
          <cell r="U401">
            <v>3021</v>
          </cell>
          <cell r="X401">
            <v>9000</v>
          </cell>
        </row>
        <row r="402">
          <cell r="U402">
            <v>1357</v>
          </cell>
          <cell r="X402">
            <v>10000</v>
          </cell>
        </row>
        <row r="403">
          <cell r="U403">
            <v>2533</v>
          </cell>
          <cell r="X403">
            <v>10000</v>
          </cell>
        </row>
        <row r="404">
          <cell r="U404">
            <v>530</v>
          </cell>
          <cell r="X404">
            <v>1600</v>
          </cell>
        </row>
        <row r="405">
          <cell r="U405">
            <v>1750</v>
          </cell>
          <cell r="X405">
            <v>12000</v>
          </cell>
        </row>
        <row r="406">
          <cell r="U406">
            <v>1365</v>
          </cell>
          <cell r="X406">
            <v>3000</v>
          </cell>
        </row>
        <row r="407">
          <cell r="U407">
            <v>1116</v>
          </cell>
          <cell r="X407">
            <v>1470</v>
          </cell>
        </row>
        <row r="408">
          <cell r="U408">
            <v>3146</v>
          </cell>
          <cell r="X408">
            <v>9000</v>
          </cell>
        </row>
        <row r="409">
          <cell r="U409">
            <v>1843</v>
          </cell>
          <cell r="X409">
            <v>3000</v>
          </cell>
        </row>
        <row r="410">
          <cell r="U410">
            <v>3783</v>
          </cell>
          <cell r="X410">
            <v>22000</v>
          </cell>
        </row>
        <row r="411">
          <cell r="U411">
            <v>2032</v>
          </cell>
          <cell r="X411">
            <v>15000</v>
          </cell>
        </row>
        <row r="412">
          <cell r="U412">
            <v>2076</v>
          </cell>
          <cell r="X412">
            <v>5000</v>
          </cell>
        </row>
        <row r="413">
          <cell r="U413">
            <v>2665</v>
          </cell>
          <cell r="X413">
            <v>20000</v>
          </cell>
        </row>
        <row r="414">
          <cell r="U414">
            <v>2707</v>
          </cell>
          <cell r="X414">
            <v>8000</v>
          </cell>
        </row>
        <row r="415">
          <cell r="U415">
            <v>1671</v>
          </cell>
          <cell r="X415">
            <v>10000</v>
          </cell>
        </row>
        <row r="416">
          <cell r="U416">
            <v>1603</v>
          </cell>
          <cell r="X416">
            <v>3500</v>
          </cell>
        </row>
        <row r="417">
          <cell r="U417">
            <v>1470</v>
          </cell>
          <cell r="X417">
            <v>5000</v>
          </cell>
        </row>
        <row r="418">
          <cell r="U418">
            <v>218</v>
          </cell>
          <cell r="X418">
            <v>720</v>
          </cell>
        </row>
        <row r="419">
          <cell r="U419">
            <v>1777</v>
          </cell>
          <cell r="X419">
            <v>5000</v>
          </cell>
        </row>
        <row r="420">
          <cell r="U420">
            <v>1076</v>
          </cell>
          <cell r="X420">
            <v>2800</v>
          </cell>
        </row>
        <row r="421">
          <cell r="U421">
            <v>1181</v>
          </cell>
          <cell r="X421">
            <v>5605</v>
          </cell>
        </row>
        <row r="422">
          <cell r="U422">
            <v>3014</v>
          </cell>
          <cell r="X422">
            <v>7000</v>
          </cell>
        </row>
        <row r="423">
          <cell r="U423">
            <v>2000</v>
          </cell>
          <cell r="X423">
            <v>8000</v>
          </cell>
        </row>
        <row r="424">
          <cell r="U424">
            <v>1100</v>
          </cell>
          <cell r="X424">
            <v>1500</v>
          </cell>
        </row>
        <row r="425">
          <cell r="U425">
            <v>9691</v>
          </cell>
          <cell r="X425">
            <v>31000</v>
          </cell>
        </row>
        <row r="426">
          <cell r="U426">
            <v>1878</v>
          </cell>
          <cell r="X426">
            <v>5500</v>
          </cell>
        </row>
        <row r="427">
          <cell r="U427">
            <v>1190</v>
          </cell>
          <cell r="X427">
            <v>1410</v>
          </cell>
        </row>
        <row r="428">
          <cell r="U428">
            <v>491</v>
          </cell>
          <cell r="X428">
            <v>1400</v>
          </cell>
        </row>
        <row r="429">
          <cell r="U429">
            <v>3319</v>
          </cell>
          <cell r="X429">
            <v>12000</v>
          </cell>
        </row>
        <row r="430">
          <cell r="U430">
            <v>229</v>
          </cell>
          <cell r="X430">
            <v>300</v>
          </cell>
        </row>
        <row r="431">
          <cell r="U431">
            <v>987</v>
          </cell>
          <cell r="X431">
            <v>4000</v>
          </cell>
        </row>
        <row r="432">
          <cell r="U432">
            <v>699</v>
          </cell>
          <cell r="X432">
            <v>1500</v>
          </cell>
        </row>
        <row r="433">
          <cell r="U433">
            <v>1391</v>
          </cell>
          <cell r="X433">
            <v>3200</v>
          </cell>
        </row>
        <row r="434">
          <cell r="U434">
            <v>675</v>
          </cell>
          <cell r="X434">
            <v>2000</v>
          </cell>
        </row>
        <row r="435">
          <cell r="U435">
            <v>1591</v>
          </cell>
          <cell r="X435">
            <v>5000</v>
          </cell>
        </row>
        <row r="436">
          <cell r="U436">
            <v>2475</v>
          </cell>
          <cell r="X436">
            <v>10000</v>
          </cell>
        </row>
        <row r="437">
          <cell r="U437">
            <v>775</v>
          </cell>
          <cell r="X437">
            <v>3600</v>
          </cell>
        </row>
        <row r="438">
          <cell r="U438">
            <v>1123</v>
          </cell>
          <cell r="X438">
            <v>2500</v>
          </cell>
        </row>
        <row r="439">
          <cell r="U439">
            <v>2098</v>
          </cell>
          <cell r="X439">
            <v>15000</v>
          </cell>
        </row>
        <row r="440">
          <cell r="U440">
            <v>1321</v>
          </cell>
          <cell r="X440">
            <v>3500</v>
          </cell>
        </row>
        <row r="441">
          <cell r="U441">
            <v>787</v>
          </cell>
          <cell r="X441">
            <v>3600</v>
          </cell>
        </row>
        <row r="442">
          <cell r="U442">
            <v>1031</v>
          </cell>
          <cell r="X442">
            <v>5000</v>
          </cell>
        </row>
        <row r="443">
          <cell r="U443">
            <v>273</v>
          </cell>
          <cell r="X443">
            <v>450</v>
          </cell>
        </row>
        <row r="444">
          <cell r="U444">
            <v>1437</v>
          </cell>
          <cell r="X444">
            <v>5400</v>
          </cell>
        </row>
        <row r="445">
          <cell r="U445">
            <v>486</v>
          </cell>
          <cell r="X445">
            <v>800</v>
          </cell>
        </row>
        <row r="446">
          <cell r="U446">
            <v>683</v>
          </cell>
          <cell r="X446">
            <v>800</v>
          </cell>
        </row>
        <row r="447">
          <cell r="U447">
            <v>313</v>
          </cell>
          <cell r="X447">
            <v>800</v>
          </cell>
        </row>
        <row r="448">
          <cell r="U448">
            <v>5792</v>
          </cell>
          <cell r="X448">
            <v>20000</v>
          </cell>
        </row>
        <row r="449">
          <cell r="U449">
            <v>515</v>
          </cell>
          <cell r="X449">
            <v>1125</v>
          </cell>
        </row>
        <row r="450">
          <cell r="U450">
            <v>980</v>
          </cell>
          <cell r="X450">
            <v>1200</v>
          </cell>
        </row>
        <row r="451">
          <cell r="U451">
            <v>3563</v>
          </cell>
          <cell r="X451">
            <v>15000</v>
          </cell>
        </row>
        <row r="452">
          <cell r="U452">
            <v>625</v>
          </cell>
          <cell r="X452">
            <v>1750</v>
          </cell>
        </row>
        <row r="453">
          <cell r="U453">
            <v>1955</v>
          </cell>
          <cell r="X453">
            <v>6336</v>
          </cell>
        </row>
        <row r="454">
          <cell r="U454">
            <v>846</v>
          </cell>
          <cell r="X454">
            <v>2500</v>
          </cell>
        </row>
        <row r="455">
          <cell r="U455">
            <v>5485</v>
          </cell>
          <cell r="X455">
            <v>20000</v>
          </cell>
        </row>
        <row r="456">
          <cell r="U456">
            <v>734</v>
          </cell>
          <cell r="X456">
            <v>3000</v>
          </cell>
        </row>
        <row r="457">
          <cell r="U457">
            <v>1124</v>
          </cell>
          <cell r="X457">
            <v>4000</v>
          </cell>
        </row>
        <row r="458">
          <cell r="U458">
            <v>1050</v>
          </cell>
          <cell r="X458">
            <v>4000</v>
          </cell>
        </row>
        <row r="459">
          <cell r="U459">
            <v>1602</v>
          </cell>
          <cell r="X459">
            <v>5000</v>
          </cell>
        </row>
        <row r="460">
          <cell r="U460">
            <v>1099</v>
          </cell>
          <cell r="X460">
            <v>5000</v>
          </cell>
        </row>
        <row r="461">
          <cell r="U461">
            <v>4704</v>
          </cell>
          <cell r="X461">
            <v>3312</v>
          </cell>
        </row>
        <row r="462">
          <cell r="U462">
            <v>2844</v>
          </cell>
          <cell r="X462">
            <v>4000</v>
          </cell>
        </row>
        <row r="463">
          <cell r="U463">
            <v>4021</v>
          </cell>
          <cell r="X463">
            <v>12600</v>
          </cell>
        </row>
        <row r="464">
          <cell r="U464">
            <v>6624</v>
          </cell>
          <cell r="X464">
            <v>20000</v>
          </cell>
        </row>
        <row r="465">
          <cell r="U465">
            <v>860</v>
          </cell>
          <cell r="X465">
            <v>3000</v>
          </cell>
        </row>
        <row r="466">
          <cell r="U466">
            <v>471</v>
          </cell>
          <cell r="X466">
            <v>500</v>
          </cell>
        </row>
        <row r="467">
          <cell r="U467">
            <v>1787</v>
          </cell>
          <cell r="X467">
            <v>6000</v>
          </cell>
        </row>
        <row r="468">
          <cell r="U468">
            <v>592</v>
          </cell>
          <cell r="X468">
            <v>1500</v>
          </cell>
        </row>
        <row r="469">
          <cell r="U469">
            <v>712</v>
          </cell>
          <cell r="X469">
            <v>2100</v>
          </cell>
        </row>
        <row r="470">
          <cell r="U470">
            <v>2286</v>
          </cell>
          <cell r="X470">
            <v>7000</v>
          </cell>
        </row>
        <row r="471">
          <cell r="U471">
            <v>819</v>
          </cell>
          <cell r="X471">
            <v>2400</v>
          </cell>
        </row>
        <row r="472">
          <cell r="U472">
            <v>851</v>
          </cell>
          <cell r="X472">
            <v>1250</v>
          </cell>
        </row>
        <row r="473">
          <cell r="U473">
            <v>247</v>
          </cell>
          <cell r="X473">
            <v>600</v>
          </cell>
        </row>
        <row r="474">
          <cell r="U474">
            <v>343</v>
          </cell>
          <cell r="X474">
            <v>1500</v>
          </cell>
        </row>
        <row r="475">
          <cell r="U475">
            <v>1557</v>
          </cell>
          <cell r="X475">
            <v>5000</v>
          </cell>
        </row>
        <row r="476">
          <cell r="U476">
            <v>586</v>
          </cell>
          <cell r="X476">
            <v>1000</v>
          </cell>
        </row>
        <row r="477">
          <cell r="U477">
            <v>4725</v>
          </cell>
          <cell r="X477">
            <v>20000</v>
          </cell>
        </row>
        <row r="478">
          <cell r="U478">
            <v>3539</v>
          </cell>
          <cell r="X478">
            <v>15000</v>
          </cell>
        </row>
        <row r="479">
          <cell r="U479">
            <v>236</v>
          </cell>
          <cell r="X479">
            <v>400</v>
          </cell>
        </row>
        <row r="480">
          <cell r="U480">
            <v>816</v>
          </cell>
          <cell r="X480">
            <v>2000</v>
          </cell>
        </row>
        <row r="481">
          <cell r="U481">
            <v>973</v>
          </cell>
          <cell r="X481">
            <v>1600</v>
          </cell>
        </row>
        <row r="482">
          <cell r="U482">
            <v>2250</v>
          </cell>
          <cell r="X482">
            <v>7000</v>
          </cell>
        </row>
        <row r="483">
          <cell r="U483">
            <v>2366</v>
          </cell>
          <cell r="X483">
            <v>11040</v>
          </cell>
        </row>
        <row r="484">
          <cell r="U484">
            <v>450</v>
          </cell>
          <cell r="X484">
            <v>700</v>
          </cell>
        </row>
        <row r="485">
          <cell r="U485">
            <v>87</v>
          </cell>
          <cell r="X485">
            <v>120</v>
          </cell>
        </row>
        <row r="486">
          <cell r="U486">
            <v>479</v>
          </cell>
          <cell r="X486">
            <v>1300</v>
          </cell>
        </row>
        <row r="487">
          <cell r="U487">
            <v>2763</v>
          </cell>
          <cell r="X487">
            <v>8000</v>
          </cell>
        </row>
        <row r="488">
          <cell r="U488">
            <v>3063</v>
          </cell>
          <cell r="X488">
            <v>7500</v>
          </cell>
        </row>
        <row r="489">
          <cell r="U489">
            <v>5448</v>
          </cell>
          <cell r="X489">
            <v>18000</v>
          </cell>
        </row>
        <row r="490">
          <cell r="U490">
            <v>188</v>
          </cell>
          <cell r="X490">
            <v>60</v>
          </cell>
        </row>
        <row r="491">
          <cell r="U491">
            <v>2139</v>
          </cell>
          <cell r="X491">
            <v>5000</v>
          </cell>
        </row>
        <row r="492">
          <cell r="U492">
            <v>1114</v>
          </cell>
          <cell r="X492">
            <v>3000</v>
          </cell>
        </row>
        <row r="493">
          <cell r="U493">
            <v>1589</v>
          </cell>
          <cell r="X493">
            <v>4000</v>
          </cell>
        </row>
        <row r="494">
          <cell r="U494">
            <v>2434</v>
          </cell>
          <cell r="X494">
            <v>9000</v>
          </cell>
        </row>
        <row r="495">
          <cell r="U495">
            <v>3182</v>
          </cell>
          <cell r="X495">
            <v>14000</v>
          </cell>
        </row>
        <row r="496">
          <cell r="U496">
            <v>750</v>
          </cell>
          <cell r="X496">
            <v>3150</v>
          </cell>
        </row>
        <row r="497">
          <cell r="U497">
            <v>1011</v>
          </cell>
          <cell r="X497">
            <v>1600</v>
          </cell>
        </row>
        <row r="498">
          <cell r="U498">
            <v>1463</v>
          </cell>
          <cell r="X498">
            <v>6980</v>
          </cell>
        </row>
        <row r="499">
          <cell r="U499">
            <v>2260</v>
          </cell>
          <cell r="X499">
            <v>10000</v>
          </cell>
        </row>
        <row r="500">
          <cell r="U500">
            <v>683</v>
          </cell>
          <cell r="X500">
            <v>3500</v>
          </cell>
        </row>
        <row r="501">
          <cell r="U501">
            <v>537</v>
          </cell>
          <cell r="X501">
            <v>600</v>
          </cell>
        </row>
        <row r="502">
          <cell r="U502">
            <v>1040</v>
          </cell>
          <cell r="X502">
            <v>900</v>
          </cell>
        </row>
        <row r="503">
          <cell r="U503">
            <v>1561</v>
          </cell>
          <cell r="X503">
            <v>3000</v>
          </cell>
        </row>
        <row r="504">
          <cell r="U504">
            <v>750</v>
          </cell>
          <cell r="X504">
            <v>1500</v>
          </cell>
        </row>
        <row r="505">
          <cell r="U505">
            <v>7481</v>
          </cell>
          <cell r="X505">
            <v>25000</v>
          </cell>
        </row>
        <row r="506">
          <cell r="U506">
            <v>2215</v>
          </cell>
          <cell r="X506">
            <v>3200</v>
          </cell>
        </row>
        <row r="507">
          <cell r="U507">
            <v>3204</v>
          </cell>
          <cell r="X507">
            <v>18000</v>
          </cell>
        </row>
        <row r="508">
          <cell r="U508">
            <v>835</v>
          </cell>
          <cell r="X508">
            <v>2000</v>
          </cell>
        </row>
        <row r="509">
          <cell r="U509">
            <v>2675</v>
          </cell>
          <cell r="X509">
            <v>6000</v>
          </cell>
        </row>
        <row r="510">
          <cell r="U510">
            <v>1368</v>
          </cell>
          <cell r="X510">
            <v>4000</v>
          </cell>
        </row>
        <row r="511">
          <cell r="U511">
            <v>1656</v>
          </cell>
          <cell r="X511">
            <v>6000</v>
          </cell>
        </row>
        <row r="512">
          <cell r="U512">
            <v>2958</v>
          </cell>
          <cell r="X512">
            <v>6000</v>
          </cell>
        </row>
        <row r="513">
          <cell r="U513">
            <v>668</v>
          </cell>
          <cell r="X513">
            <v>1020</v>
          </cell>
        </row>
        <row r="514">
          <cell r="U514">
            <v>1637</v>
          </cell>
          <cell r="X514">
            <v>5000</v>
          </cell>
        </row>
        <row r="515">
          <cell r="U515">
            <v>397</v>
          </cell>
          <cell r="X515">
            <v>1200</v>
          </cell>
        </row>
        <row r="516">
          <cell r="U516">
            <v>1280</v>
          </cell>
          <cell r="X516">
            <v>3000</v>
          </cell>
        </row>
        <row r="517">
          <cell r="U517">
            <v>184</v>
          </cell>
          <cell r="X517">
            <v>363</v>
          </cell>
        </row>
        <row r="518">
          <cell r="U518">
            <v>875</v>
          </cell>
          <cell r="X518">
            <v>1800</v>
          </cell>
        </row>
        <row r="519">
          <cell r="U519">
            <v>759</v>
          </cell>
          <cell r="X519">
            <v>100</v>
          </cell>
        </row>
        <row r="520">
          <cell r="U520">
            <v>1555</v>
          </cell>
          <cell r="X520">
            <v>7000</v>
          </cell>
        </row>
        <row r="521">
          <cell r="U521">
            <v>740</v>
          </cell>
          <cell r="X521">
            <v>2000</v>
          </cell>
        </row>
        <row r="522">
          <cell r="U522">
            <v>1698</v>
          </cell>
          <cell r="X522">
            <v>6000</v>
          </cell>
        </row>
        <row r="523">
          <cell r="U523">
            <v>225</v>
          </cell>
          <cell r="X523">
            <v>1200</v>
          </cell>
        </row>
        <row r="524">
          <cell r="U524">
            <v>433</v>
          </cell>
          <cell r="X524">
            <v>2000</v>
          </cell>
        </row>
        <row r="525">
          <cell r="U525">
            <v>208</v>
          </cell>
          <cell r="X525">
            <v>500</v>
          </cell>
        </row>
        <row r="526">
          <cell r="U526">
            <v>1843</v>
          </cell>
          <cell r="X526">
            <v>5400</v>
          </cell>
        </row>
        <row r="527">
          <cell r="U527">
            <v>1791</v>
          </cell>
          <cell r="X527">
            <v>3750</v>
          </cell>
        </row>
        <row r="528">
          <cell r="U528">
            <v>1347</v>
          </cell>
          <cell r="X528">
            <v>2800</v>
          </cell>
        </row>
        <row r="529">
          <cell r="U529">
            <v>1776</v>
          </cell>
          <cell r="X529">
            <v>4500</v>
          </cell>
        </row>
        <row r="530">
          <cell r="U530">
            <v>1133</v>
          </cell>
          <cell r="X530">
            <v>2000</v>
          </cell>
        </row>
        <row r="531">
          <cell r="U531">
            <v>530</v>
          </cell>
          <cell r="X531">
            <v>3700</v>
          </cell>
        </row>
        <row r="532">
          <cell r="U532">
            <v>1288</v>
          </cell>
          <cell r="X532">
            <v>6216</v>
          </cell>
        </row>
        <row r="533">
          <cell r="U533">
            <v>3048</v>
          </cell>
          <cell r="X533">
            <v>10000</v>
          </cell>
        </row>
        <row r="534">
          <cell r="U534">
            <v>1973</v>
          </cell>
          <cell r="X534">
            <v>10000</v>
          </cell>
        </row>
        <row r="535">
          <cell r="U535">
            <v>2521</v>
          </cell>
          <cell r="X535">
            <v>12000</v>
          </cell>
        </row>
        <row r="536">
          <cell r="U536">
            <v>2476</v>
          </cell>
          <cell r="X536">
            <v>10000</v>
          </cell>
        </row>
        <row r="537">
          <cell r="U537">
            <v>3721</v>
          </cell>
          <cell r="X537">
            <v>15000</v>
          </cell>
        </row>
        <row r="538">
          <cell r="U538">
            <v>4261</v>
          </cell>
          <cell r="X538">
            <v>5000</v>
          </cell>
        </row>
        <row r="539">
          <cell r="U539">
            <v>870</v>
          </cell>
          <cell r="X539">
            <v>4000</v>
          </cell>
        </row>
        <row r="540">
          <cell r="U540">
            <v>5473</v>
          </cell>
          <cell r="X540">
            <v>18000</v>
          </cell>
        </row>
        <row r="541">
          <cell r="U541">
            <v>1024</v>
          </cell>
          <cell r="X541">
            <v>1000</v>
          </cell>
        </row>
        <row r="542">
          <cell r="U542">
            <v>367</v>
          </cell>
          <cell r="X542">
            <v>1300</v>
          </cell>
        </row>
        <row r="543">
          <cell r="U543">
            <v>4872</v>
          </cell>
          <cell r="X543">
            <v>16000</v>
          </cell>
        </row>
        <row r="544">
          <cell r="U544">
            <v>3536</v>
          </cell>
          <cell r="X544">
            <v>15000</v>
          </cell>
        </row>
        <row r="545">
          <cell r="U545">
            <v>640</v>
          </cell>
          <cell r="X545">
            <v>1500</v>
          </cell>
        </row>
        <row r="546">
          <cell r="U546">
            <v>1219</v>
          </cell>
          <cell r="X546">
            <v>4000</v>
          </cell>
        </row>
        <row r="547">
          <cell r="U547">
            <v>698</v>
          </cell>
          <cell r="X547">
            <v>400</v>
          </cell>
        </row>
        <row r="548">
          <cell r="U548">
            <v>575</v>
          </cell>
          <cell r="X548">
            <v>3500</v>
          </cell>
        </row>
        <row r="549">
          <cell r="U549">
            <v>107</v>
          </cell>
          <cell r="X549">
            <v>230</v>
          </cell>
        </row>
        <row r="550">
          <cell r="U550">
            <v>960</v>
          </cell>
          <cell r="X550">
            <v>2500</v>
          </cell>
        </row>
        <row r="551">
          <cell r="U551">
            <v>1693</v>
          </cell>
          <cell r="X551">
            <v>6000</v>
          </cell>
        </row>
        <row r="552">
          <cell r="U552">
            <v>2002</v>
          </cell>
          <cell r="X552">
            <v>6300</v>
          </cell>
        </row>
        <row r="553">
          <cell r="U553">
            <v>1099</v>
          </cell>
          <cell r="X553">
            <v>2400</v>
          </cell>
        </row>
        <row r="554">
          <cell r="U554">
            <v>2120</v>
          </cell>
          <cell r="X554">
            <v>7900</v>
          </cell>
        </row>
        <row r="555">
          <cell r="U555">
            <v>4782</v>
          </cell>
          <cell r="X555">
            <v>17000</v>
          </cell>
        </row>
        <row r="556">
          <cell r="U556">
            <v>289</v>
          </cell>
          <cell r="X556">
            <v>384</v>
          </cell>
        </row>
        <row r="557">
          <cell r="U557">
            <v>326</v>
          </cell>
          <cell r="X557">
            <v>550</v>
          </cell>
        </row>
        <row r="558">
          <cell r="U558">
            <v>3539</v>
          </cell>
          <cell r="X558">
            <v>10000</v>
          </cell>
        </row>
        <row r="559">
          <cell r="U559">
            <v>1733</v>
          </cell>
          <cell r="X559">
            <v>8000</v>
          </cell>
        </row>
        <row r="560">
          <cell r="U560">
            <v>863</v>
          </cell>
          <cell r="X560">
            <v>3000</v>
          </cell>
        </row>
        <row r="561">
          <cell r="U561">
            <v>2069</v>
          </cell>
          <cell r="X561">
            <v>6000</v>
          </cell>
        </row>
        <row r="562">
          <cell r="U562">
            <v>1782</v>
          </cell>
          <cell r="X562">
            <v>3500</v>
          </cell>
        </row>
        <row r="563">
          <cell r="U563">
            <v>523</v>
          </cell>
          <cell r="X563">
            <v>1200</v>
          </cell>
        </row>
        <row r="564">
          <cell r="U564">
            <v>1554</v>
          </cell>
          <cell r="X564">
            <v>6300</v>
          </cell>
        </row>
        <row r="565">
          <cell r="U565">
            <v>987</v>
          </cell>
          <cell r="X565">
            <v>5000</v>
          </cell>
        </row>
        <row r="566">
          <cell r="U566">
            <v>1064</v>
          </cell>
          <cell r="X566">
            <v>7000</v>
          </cell>
        </row>
        <row r="567">
          <cell r="U567">
            <v>1407</v>
          </cell>
          <cell r="X567">
            <v>4000</v>
          </cell>
        </row>
        <row r="568">
          <cell r="U568">
            <v>4523</v>
          </cell>
          <cell r="X568">
            <v>15000</v>
          </cell>
        </row>
        <row r="569">
          <cell r="U569">
            <v>220</v>
          </cell>
          <cell r="X569">
            <v>624</v>
          </cell>
        </row>
        <row r="570">
          <cell r="U570">
            <v>126</v>
          </cell>
          <cell r="X570">
            <v>330</v>
          </cell>
        </row>
        <row r="571">
          <cell r="U571">
            <v>441</v>
          </cell>
          <cell r="X571">
            <v>500</v>
          </cell>
        </row>
        <row r="572">
          <cell r="U572">
            <v>188</v>
          </cell>
          <cell r="X572">
            <v>1500</v>
          </cell>
        </row>
        <row r="573">
          <cell r="U573">
            <v>3850</v>
          </cell>
          <cell r="X573">
            <v>15000</v>
          </cell>
        </row>
        <row r="574">
          <cell r="U574">
            <v>776</v>
          </cell>
          <cell r="X574">
            <v>6000</v>
          </cell>
        </row>
        <row r="575">
          <cell r="U575">
            <v>1090</v>
          </cell>
          <cell r="X575">
            <v>4000</v>
          </cell>
        </row>
        <row r="576">
          <cell r="U576">
            <v>657</v>
          </cell>
          <cell r="X576">
            <v>3000</v>
          </cell>
        </row>
        <row r="577">
          <cell r="U577">
            <v>678</v>
          </cell>
          <cell r="X577">
            <v>675</v>
          </cell>
        </row>
        <row r="578">
          <cell r="U578">
            <v>2491</v>
          </cell>
          <cell r="X578">
            <v>10500</v>
          </cell>
        </row>
        <row r="579">
          <cell r="U579">
            <v>474</v>
          </cell>
          <cell r="X579">
            <v>800</v>
          </cell>
        </row>
        <row r="580">
          <cell r="U580">
            <v>497</v>
          </cell>
          <cell r="X580">
            <v>400</v>
          </cell>
        </row>
        <row r="581">
          <cell r="U581">
            <v>1057</v>
          </cell>
          <cell r="X581">
            <v>2000</v>
          </cell>
        </row>
        <row r="582">
          <cell r="U582">
            <v>594</v>
          </cell>
          <cell r="X582">
            <v>1350</v>
          </cell>
        </row>
        <row r="583">
          <cell r="U583">
            <v>1796</v>
          </cell>
          <cell r="X583">
            <v>3250</v>
          </cell>
        </row>
        <row r="584">
          <cell r="U584">
            <v>897</v>
          </cell>
          <cell r="X584">
            <v>1000</v>
          </cell>
        </row>
        <row r="585">
          <cell r="U585">
            <v>529</v>
          </cell>
          <cell r="X585">
            <v>700</v>
          </cell>
        </row>
        <row r="586">
          <cell r="U586">
            <v>255</v>
          </cell>
          <cell r="X586">
            <v>600</v>
          </cell>
        </row>
        <row r="587">
          <cell r="U587">
            <v>878</v>
          </cell>
          <cell r="X587">
            <v>1000</v>
          </cell>
        </row>
      </sheetData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opLeftCell="A19" workbookViewId="0">
      <selection activeCell="A39" sqref="A39:F39"/>
    </sheetView>
  </sheetViews>
  <sheetFormatPr baseColWidth="10" defaultRowHeight="15" x14ac:dyDescent="0.25"/>
  <cols>
    <col min="13" max="13" width="11.7109375" customWidth="1"/>
  </cols>
  <sheetData>
    <row r="1" spans="1:13" ht="25.9" x14ac:dyDescent="0.5">
      <c r="A1" s="53" t="s">
        <v>45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3" spans="1:13" x14ac:dyDescent="0.25">
      <c r="A3" s="51" t="s">
        <v>47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62.25" customHeight="1" x14ac:dyDescent="0.25">
      <c r="A4" s="50" t="s">
        <v>64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3" ht="14.45" x14ac:dyDescent="0.3">
      <c r="A5" s="3"/>
      <c r="B5" s="4"/>
      <c r="C5" s="3"/>
      <c r="D5" s="3"/>
      <c r="E5" s="3"/>
      <c r="F5" s="3"/>
    </row>
    <row r="6" spans="1:13" ht="14.45" x14ac:dyDescent="0.3">
      <c r="A6" s="3"/>
      <c r="B6" s="4"/>
      <c r="C6" s="3"/>
      <c r="D6" s="3"/>
      <c r="E6" s="3"/>
      <c r="F6" s="3"/>
    </row>
    <row r="7" spans="1:13" ht="14.45" x14ac:dyDescent="0.3">
      <c r="A7" s="3"/>
      <c r="B7" s="4"/>
      <c r="C7" s="3"/>
      <c r="D7" s="3"/>
      <c r="E7" s="3"/>
      <c r="F7" s="3"/>
    </row>
    <row r="8" spans="1:13" ht="14.45" x14ac:dyDescent="0.3">
      <c r="A8" s="3"/>
      <c r="B8" s="4"/>
      <c r="C8" s="3"/>
      <c r="D8" s="3"/>
      <c r="E8" s="3"/>
      <c r="F8" s="3"/>
    </row>
    <row r="9" spans="1:13" ht="14.45" x14ac:dyDescent="0.3">
      <c r="A9" s="3"/>
      <c r="B9" s="3"/>
      <c r="C9" s="3"/>
      <c r="D9" s="3"/>
      <c r="E9" s="3"/>
      <c r="F9" s="3"/>
    </row>
    <row r="10" spans="1:13" ht="14.45" x14ac:dyDescent="0.3">
      <c r="A10" s="3"/>
      <c r="B10" s="3"/>
      <c r="C10" s="3"/>
      <c r="D10" s="3"/>
      <c r="E10" s="3"/>
      <c r="F10" s="3"/>
    </row>
    <row r="11" spans="1:13" ht="14.45" x14ac:dyDescent="0.3">
      <c r="A11" s="5"/>
      <c r="B11" s="5"/>
      <c r="C11" s="5"/>
      <c r="D11" s="5"/>
      <c r="E11" s="5"/>
      <c r="F11" s="5"/>
    </row>
    <row r="35" spans="1:13" ht="14.4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3" ht="75.75" customHeight="1" x14ac:dyDescent="0.25">
      <c r="A36" s="52" t="s">
        <v>46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</row>
    <row r="40" spans="1:13" x14ac:dyDescent="0.25">
      <c r="B40" s="29"/>
      <c r="C40" s="29"/>
    </row>
    <row r="41" spans="1:13" x14ac:dyDescent="0.25">
      <c r="B41" s="29"/>
      <c r="C41" s="29"/>
    </row>
    <row r="42" spans="1:13" x14ac:dyDescent="0.25">
      <c r="B42" s="29"/>
      <c r="C42" s="29"/>
    </row>
    <row r="43" spans="1:13" x14ac:dyDescent="0.25">
      <c r="B43" s="29"/>
      <c r="C43" s="29"/>
    </row>
    <row r="44" spans="1:13" x14ac:dyDescent="0.25">
      <c r="B44" s="29"/>
      <c r="C44" s="29"/>
    </row>
    <row r="45" spans="1:13" x14ac:dyDescent="0.25">
      <c r="B45" s="29"/>
      <c r="C45" s="29"/>
    </row>
    <row r="46" spans="1:13" x14ac:dyDescent="0.25">
      <c r="B46" s="29"/>
      <c r="C46" s="29"/>
    </row>
    <row r="47" spans="1:13" x14ac:dyDescent="0.25">
      <c r="B47" s="29"/>
      <c r="C47" s="29"/>
    </row>
    <row r="48" spans="1:13" x14ac:dyDescent="0.25">
      <c r="B48" s="29"/>
      <c r="C48" s="29"/>
    </row>
  </sheetData>
  <sortState ref="A2:F427">
    <sortCondition ref="C2:C427"/>
  </sortState>
  <mergeCells count="4">
    <mergeCell ref="A4:M4"/>
    <mergeCell ref="A3:M3"/>
    <mergeCell ref="A36:M36"/>
    <mergeCell ref="A1:M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90" zoomScaleNormal="90" workbookViewId="0">
      <selection activeCell="K10" sqref="K10"/>
    </sheetView>
  </sheetViews>
  <sheetFormatPr baseColWidth="10" defaultRowHeight="15" x14ac:dyDescent="0.25"/>
  <cols>
    <col min="2" max="2" width="21" bestFit="1" customWidth="1"/>
    <col min="3" max="3" width="15.5703125" bestFit="1" customWidth="1"/>
    <col min="4" max="4" width="20.140625" bestFit="1" customWidth="1"/>
    <col min="6" max="6" width="17.5703125" bestFit="1" customWidth="1"/>
    <col min="7" max="7" width="15.5703125" bestFit="1" customWidth="1"/>
    <col min="8" max="8" width="20.140625" bestFit="1" customWidth="1"/>
    <col min="10" max="10" width="13.5703125" bestFit="1" customWidth="1"/>
    <col min="11" max="11" width="15.5703125" bestFit="1" customWidth="1"/>
    <col min="12" max="12" width="20.140625" bestFit="1" customWidth="1"/>
  </cols>
  <sheetData>
    <row r="1" spans="1:12" x14ac:dyDescent="0.25">
      <c r="A1" s="34" t="s">
        <v>60</v>
      </c>
      <c r="B1" s="34" t="s">
        <v>57</v>
      </c>
      <c r="C1" s="34" t="s">
        <v>65</v>
      </c>
      <c r="D1" s="34" t="s">
        <v>62</v>
      </c>
      <c r="F1" s="34" t="s">
        <v>63</v>
      </c>
      <c r="G1" s="34" t="s">
        <v>65</v>
      </c>
      <c r="H1" s="34" t="s">
        <v>62</v>
      </c>
      <c r="J1" s="34" t="s">
        <v>66</v>
      </c>
      <c r="K1" s="34" t="s">
        <v>65</v>
      </c>
      <c r="L1" s="34" t="s">
        <v>62</v>
      </c>
    </row>
    <row r="2" spans="1:12" x14ac:dyDescent="0.25">
      <c r="A2" s="57" t="s">
        <v>67</v>
      </c>
      <c r="B2" s="13" t="s">
        <v>72</v>
      </c>
      <c r="C2" s="8">
        <v>112546.75</v>
      </c>
      <c r="D2" s="8">
        <v>349702.78</v>
      </c>
      <c r="F2" s="13" t="s">
        <v>67</v>
      </c>
      <c r="G2" s="8">
        <f>C2+C3+C4+C5</f>
        <v>364914.52999999997</v>
      </c>
      <c r="H2" s="8">
        <f>D2+D3+D4+D5</f>
        <v>1235563.6399999999</v>
      </c>
      <c r="J2" s="8" t="s">
        <v>80</v>
      </c>
      <c r="K2" s="8">
        <f>SUM(G2:G6)</f>
        <v>1015622.4086182941</v>
      </c>
      <c r="L2" s="8">
        <f>SUM(H2:H6)</f>
        <v>3662706.4399999995</v>
      </c>
    </row>
    <row r="3" spans="1:12" x14ac:dyDescent="0.25">
      <c r="A3" s="57"/>
      <c r="B3" s="48" t="s">
        <v>73</v>
      </c>
      <c r="C3" s="33">
        <v>116955.7</v>
      </c>
      <c r="D3" s="33">
        <v>400109.65</v>
      </c>
      <c r="E3" s="29"/>
      <c r="F3" s="33" t="s">
        <v>68</v>
      </c>
      <c r="G3" s="33">
        <f>SUM(C6:C9)</f>
        <v>189052.23</v>
      </c>
      <c r="H3" s="8">
        <f>SUM(D6:D9)</f>
        <v>769197.33000000007</v>
      </c>
    </row>
    <row r="4" spans="1:12" x14ac:dyDescent="0.25">
      <c r="A4" s="57"/>
      <c r="B4" s="48" t="s">
        <v>74</v>
      </c>
      <c r="C4" s="8">
        <v>59297.53</v>
      </c>
      <c r="D4" s="8">
        <v>217660.55</v>
      </c>
      <c r="F4" s="33" t="s">
        <v>71</v>
      </c>
      <c r="G4" s="8">
        <f>C10+C11</f>
        <v>34424.94</v>
      </c>
      <c r="H4" s="8">
        <f>D10+D11</f>
        <v>113442.93</v>
      </c>
    </row>
    <row r="5" spans="1:12" x14ac:dyDescent="0.25">
      <c r="A5" s="57"/>
      <c r="B5" s="48" t="s">
        <v>75</v>
      </c>
      <c r="C5" s="8">
        <v>76114.55</v>
      </c>
      <c r="D5" s="8">
        <v>268090.65999999997</v>
      </c>
      <c r="F5" s="33" t="s">
        <v>70</v>
      </c>
      <c r="G5" s="8">
        <f>SUM(C12:C19)</f>
        <v>399976.08861829416</v>
      </c>
      <c r="H5" s="8">
        <f>SUM(D12:D19)</f>
        <v>1467374.91</v>
      </c>
    </row>
    <row r="6" spans="1:12" x14ac:dyDescent="0.25">
      <c r="A6" s="58" t="s">
        <v>68</v>
      </c>
      <c r="B6" s="33" t="s">
        <v>61</v>
      </c>
      <c r="C6" s="8">
        <v>61278.38</v>
      </c>
      <c r="D6" s="8">
        <v>210007.45</v>
      </c>
      <c r="F6" s="33" t="s">
        <v>69</v>
      </c>
      <c r="G6" s="8">
        <f>SUM(C20:C25)</f>
        <v>27254.62</v>
      </c>
      <c r="H6" s="8">
        <f>SUM(D20:D25)</f>
        <v>77127.62999999999</v>
      </c>
    </row>
    <row r="7" spans="1:12" x14ac:dyDescent="0.25">
      <c r="A7" s="58"/>
      <c r="B7" s="33" t="s">
        <v>56</v>
      </c>
      <c r="C7" s="8">
        <v>18133.59</v>
      </c>
      <c r="D7" s="8">
        <v>53609</v>
      </c>
    </row>
    <row r="8" spans="1:12" x14ac:dyDescent="0.25">
      <c r="A8" s="58"/>
      <c r="B8" s="33" t="s">
        <v>59</v>
      </c>
      <c r="C8" s="8">
        <v>20766.349999999999</v>
      </c>
      <c r="D8" s="8">
        <v>62360.45</v>
      </c>
    </row>
    <row r="9" spans="1:12" x14ac:dyDescent="0.25">
      <c r="A9" s="58"/>
      <c r="B9" s="48" t="s">
        <v>6</v>
      </c>
      <c r="C9" s="8">
        <v>88873.91</v>
      </c>
      <c r="D9" s="8">
        <v>443220.43</v>
      </c>
    </row>
    <row r="10" spans="1:12" x14ac:dyDescent="0.25">
      <c r="A10" s="58" t="s">
        <v>71</v>
      </c>
      <c r="B10" s="33" t="s">
        <v>76</v>
      </c>
      <c r="C10" s="8">
        <v>17001.939999999999</v>
      </c>
      <c r="D10" s="8">
        <f>57275.03</f>
        <v>57275.03</v>
      </c>
    </row>
    <row r="11" spans="1:12" x14ac:dyDescent="0.25">
      <c r="A11" s="58"/>
      <c r="B11" s="33" t="s">
        <v>79</v>
      </c>
      <c r="C11" s="8">
        <v>17423</v>
      </c>
      <c r="D11" s="8">
        <v>56167.9</v>
      </c>
    </row>
    <row r="12" spans="1:12" x14ac:dyDescent="0.25">
      <c r="A12" s="54" t="s">
        <v>70</v>
      </c>
      <c r="B12" s="13" t="s">
        <v>30</v>
      </c>
      <c r="C12" s="8">
        <v>108627.95861829419</v>
      </c>
      <c r="D12" s="8">
        <v>410205.27</v>
      </c>
    </row>
    <row r="13" spans="1:12" x14ac:dyDescent="0.25">
      <c r="A13" s="55"/>
      <c r="B13" s="13" t="s">
        <v>27</v>
      </c>
      <c r="C13" s="37">
        <v>37805.32</v>
      </c>
      <c r="D13" s="8">
        <v>204446.28</v>
      </c>
    </row>
    <row r="14" spans="1:12" x14ac:dyDescent="0.25">
      <c r="A14" s="55"/>
      <c r="B14" s="13" t="s">
        <v>81</v>
      </c>
      <c r="C14" s="8">
        <v>7133.24</v>
      </c>
      <c r="D14" s="8">
        <v>29982.720000000001</v>
      </c>
    </row>
    <row r="15" spans="1:12" x14ac:dyDescent="0.25">
      <c r="A15" s="55"/>
      <c r="B15" s="8" t="s">
        <v>82</v>
      </c>
      <c r="C15" s="8">
        <v>11952.52</v>
      </c>
      <c r="D15" s="8">
        <v>41921.69</v>
      </c>
    </row>
    <row r="16" spans="1:12" x14ac:dyDescent="0.25">
      <c r="A16" s="55"/>
      <c r="B16" s="8" t="s">
        <v>83</v>
      </c>
      <c r="C16" s="8">
        <v>4754.09</v>
      </c>
      <c r="D16" s="8">
        <v>13651.94</v>
      </c>
    </row>
    <row r="17" spans="1:4" x14ac:dyDescent="0.25">
      <c r="A17" s="55"/>
      <c r="B17" s="8" t="s">
        <v>84</v>
      </c>
      <c r="C17" s="8">
        <v>71953.52</v>
      </c>
      <c r="D17" s="8">
        <v>232636.21</v>
      </c>
    </row>
    <row r="18" spans="1:4" x14ac:dyDescent="0.25">
      <c r="A18" s="55"/>
      <c r="B18" s="8" t="s">
        <v>88</v>
      </c>
      <c r="C18" s="8">
        <v>131697.93</v>
      </c>
      <c r="D18" s="8">
        <v>428341.98</v>
      </c>
    </row>
    <row r="19" spans="1:4" x14ac:dyDescent="0.25">
      <c r="A19" s="56"/>
      <c r="B19" s="8" t="s">
        <v>89</v>
      </c>
      <c r="C19" s="8">
        <v>26051.51</v>
      </c>
      <c r="D19" s="8">
        <v>106188.82</v>
      </c>
    </row>
    <row r="20" spans="1:4" x14ac:dyDescent="0.25">
      <c r="A20" s="54" t="s">
        <v>69</v>
      </c>
      <c r="B20" s="8" t="s">
        <v>90</v>
      </c>
      <c r="C20" s="8">
        <v>7383.85</v>
      </c>
      <c r="D20" s="8">
        <v>20999.95</v>
      </c>
    </row>
    <row r="21" spans="1:4" x14ac:dyDescent="0.25">
      <c r="A21" s="55"/>
      <c r="B21" s="8" t="s">
        <v>91</v>
      </c>
      <c r="C21" s="8">
        <v>6375.31</v>
      </c>
      <c r="D21" s="8">
        <v>15033.22</v>
      </c>
    </row>
    <row r="22" spans="1:4" x14ac:dyDescent="0.25">
      <c r="A22" s="55"/>
      <c r="B22" s="8" t="s">
        <v>92</v>
      </c>
      <c r="C22" s="8">
        <v>5914.87</v>
      </c>
      <c r="D22" s="8">
        <v>18424.34</v>
      </c>
    </row>
    <row r="23" spans="1:4" x14ac:dyDescent="0.25">
      <c r="A23" s="55"/>
      <c r="B23" s="8" t="s">
        <v>93</v>
      </c>
      <c r="C23" s="8">
        <v>1081.97</v>
      </c>
      <c r="D23" s="8">
        <v>3050.99</v>
      </c>
    </row>
    <row r="24" spans="1:4" x14ac:dyDescent="0.25">
      <c r="A24" s="55"/>
      <c r="B24" s="8" t="s">
        <v>94</v>
      </c>
      <c r="C24" s="8">
        <v>3331.6</v>
      </c>
      <c r="D24" s="8">
        <v>10129.620000000001</v>
      </c>
    </row>
    <row r="25" spans="1:4" x14ac:dyDescent="0.25">
      <c r="A25" s="56"/>
      <c r="B25" s="8" t="s">
        <v>95</v>
      </c>
      <c r="C25" s="8">
        <v>3167.02</v>
      </c>
      <c r="D25" s="8">
        <v>9489.51</v>
      </c>
    </row>
    <row r="28" spans="1:4" x14ac:dyDescent="0.25">
      <c r="B28" s="47" t="s">
        <v>103</v>
      </c>
    </row>
  </sheetData>
  <mergeCells count="5">
    <mergeCell ref="A12:A19"/>
    <mergeCell ref="A20:A25"/>
    <mergeCell ref="A2:A5"/>
    <mergeCell ref="A6:A9"/>
    <mergeCell ref="A10:A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10"/>
  <sheetViews>
    <sheetView topLeftCell="I28" workbookViewId="0">
      <selection activeCell="AH66" sqref="AH66"/>
    </sheetView>
  </sheetViews>
  <sheetFormatPr baseColWidth="10" defaultRowHeight="15" x14ac:dyDescent="0.25"/>
  <cols>
    <col min="12" max="12" width="14" customWidth="1"/>
    <col min="13" max="13" width="17" customWidth="1"/>
    <col min="22" max="22" width="17.28515625" customWidth="1"/>
    <col min="23" max="23" width="10.42578125" bestFit="1" customWidth="1"/>
  </cols>
  <sheetData>
    <row r="1" spans="1:41" x14ac:dyDescent="0.25">
      <c r="G1" s="59" t="s">
        <v>51</v>
      </c>
      <c r="H1" s="59"/>
      <c r="I1" s="59"/>
      <c r="J1" s="59"/>
      <c r="K1" s="59"/>
      <c r="L1" s="59"/>
      <c r="M1" s="59"/>
      <c r="N1" s="59"/>
      <c r="P1" s="59" t="s">
        <v>51</v>
      </c>
      <c r="Q1" s="59"/>
      <c r="R1" s="59"/>
      <c r="S1" s="59"/>
      <c r="T1" s="59"/>
      <c r="U1" s="59"/>
      <c r="V1" s="59"/>
      <c r="W1" s="59"/>
      <c r="Y1" s="59" t="s">
        <v>51</v>
      </c>
      <c r="Z1" s="59"/>
      <c r="AA1" s="59"/>
      <c r="AB1" s="59"/>
      <c r="AC1" s="59"/>
      <c r="AD1" s="59"/>
      <c r="AE1" s="59"/>
      <c r="AF1" s="59"/>
      <c r="AH1" s="59" t="s">
        <v>51</v>
      </c>
      <c r="AI1" s="59"/>
      <c r="AJ1" s="59"/>
      <c r="AK1" s="59"/>
      <c r="AL1" s="59"/>
      <c r="AM1" s="59"/>
      <c r="AN1" s="59"/>
      <c r="AO1" s="59"/>
    </row>
    <row r="2" spans="1:41" ht="28.9" x14ac:dyDescent="0.3"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  <c r="L2" s="1" t="s">
        <v>5</v>
      </c>
      <c r="M2" s="7" t="s">
        <v>41</v>
      </c>
      <c r="N2" s="12" t="s">
        <v>42</v>
      </c>
      <c r="P2" s="1" t="s">
        <v>0</v>
      </c>
      <c r="Q2" s="1" t="s">
        <v>1</v>
      </c>
      <c r="R2" s="1" t="s">
        <v>2</v>
      </c>
      <c r="S2" s="1" t="s">
        <v>3</v>
      </c>
      <c r="T2" s="1" t="s">
        <v>4</v>
      </c>
      <c r="U2" s="6" t="s">
        <v>5</v>
      </c>
      <c r="V2" s="7" t="s">
        <v>41</v>
      </c>
      <c r="W2" s="12" t="s">
        <v>42</v>
      </c>
      <c r="Y2" s="1" t="s">
        <v>0</v>
      </c>
      <c r="Z2" s="1" t="s">
        <v>1</v>
      </c>
      <c r="AA2" s="1" t="s">
        <v>2</v>
      </c>
      <c r="AB2" s="1" t="s">
        <v>3</v>
      </c>
      <c r="AC2" s="1" t="s">
        <v>4</v>
      </c>
      <c r="AD2" s="1" t="s">
        <v>5</v>
      </c>
      <c r="AE2" s="17" t="s">
        <v>41</v>
      </c>
      <c r="AF2" s="12" t="s">
        <v>42</v>
      </c>
      <c r="AH2" s="1" t="s">
        <v>0</v>
      </c>
      <c r="AI2" s="1" t="s">
        <v>1</v>
      </c>
      <c r="AJ2" s="1" t="s">
        <v>2</v>
      </c>
      <c r="AK2" s="1" t="s">
        <v>3</v>
      </c>
      <c r="AL2" s="1" t="s">
        <v>4</v>
      </c>
      <c r="AM2" s="1" t="s">
        <v>5</v>
      </c>
      <c r="AN2" s="17" t="s">
        <v>41</v>
      </c>
      <c r="AO2" s="12" t="s">
        <v>42</v>
      </c>
    </row>
    <row r="3" spans="1:41" ht="30" x14ac:dyDescent="0.25">
      <c r="B3" s="7" t="s">
        <v>49</v>
      </c>
      <c r="C3" s="7" t="s">
        <v>101</v>
      </c>
      <c r="D3" s="7" t="s">
        <v>50</v>
      </c>
      <c r="E3" s="7" t="s">
        <v>102</v>
      </c>
      <c r="G3" s="1">
        <v>1009</v>
      </c>
      <c r="H3" s="1"/>
      <c r="I3" s="1" t="s">
        <v>18</v>
      </c>
      <c r="J3" s="1" t="s">
        <v>14</v>
      </c>
      <c r="K3" s="1"/>
      <c r="L3" s="1">
        <v>96.208477932347293</v>
      </c>
      <c r="M3" s="8">
        <f>3.4216*L3-181.4</f>
        <v>147.78692809331952</v>
      </c>
      <c r="N3" s="13">
        <v>147.79</v>
      </c>
      <c r="P3" s="1">
        <v>100</v>
      </c>
      <c r="Q3" s="2">
        <v>8000</v>
      </c>
      <c r="R3" s="1" t="s">
        <v>9</v>
      </c>
      <c r="S3" s="1" t="s">
        <v>10</v>
      </c>
      <c r="T3" s="1"/>
      <c r="U3" s="6">
        <v>2656.7278234304199</v>
      </c>
      <c r="V3" s="8">
        <f>3.4216*U3-181.4</f>
        <v>8908.8599206495255</v>
      </c>
      <c r="W3" s="14">
        <v>8000</v>
      </c>
      <c r="Y3" s="1">
        <v>1000</v>
      </c>
      <c r="Z3" s="1"/>
      <c r="AA3" s="1" t="s">
        <v>11</v>
      </c>
      <c r="AB3" s="1" t="s">
        <v>12</v>
      </c>
      <c r="AC3" s="1" t="s">
        <v>13</v>
      </c>
      <c r="AD3" s="1">
        <v>239.13212027455501</v>
      </c>
      <c r="AE3" s="18">
        <f>3.4216*AD3-181.4</f>
        <v>636.81446273141751</v>
      </c>
      <c r="AF3" s="13">
        <v>636.80999999999995</v>
      </c>
      <c r="AH3" s="1">
        <v>101</v>
      </c>
      <c r="AI3" s="1"/>
      <c r="AJ3" s="1" t="s">
        <v>19</v>
      </c>
      <c r="AK3" s="1" t="s">
        <v>16</v>
      </c>
      <c r="AL3" s="1" t="s">
        <v>13</v>
      </c>
      <c r="AM3" s="1">
        <v>307.69970639756099</v>
      </c>
      <c r="AN3" s="18">
        <f>3.4216*AM3-181.4</f>
        <v>871.42531540989478</v>
      </c>
      <c r="AO3" s="13">
        <v>871.43</v>
      </c>
    </row>
    <row r="4" spans="1:41" ht="30" x14ac:dyDescent="0.25">
      <c r="A4" s="8" t="s">
        <v>48</v>
      </c>
      <c r="B4" s="8">
        <f>L44+U98+AD93+AM81</f>
        <v>364914.52748945146</v>
      </c>
      <c r="C4" s="8">
        <f>SUM(C5:C11)</f>
        <v>99.999999999999972</v>
      </c>
      <c r="D4" s="8">
        <f>N44+W98+AF93+AO81</f>
        <v>1235563.6400000004</v>
      </c>
      <c r="E4" s="8">
        <f>SUM(E5:E11)</f>
        <v>99.999999999999972</v>
      </c>
      <c r="G4" s="1">
        <v>31</v>
      </c>
      <c r="H4" s="1"/>
      <c r="I4" s="1" t="s">
        <v>18</v>
      </c>
      <c r="J4" s="1" t="s">
        <v>17</v>
      </c>
      <c r="K4" s="1"/>
      <c r="L4" s="1">
        <v>1038.2263191152999</v>
      </c>
      <c r="M4" s="8">
        <f t="shared" ref="M4:M43" si="0">3.4216*L4-181.4</f>
        <v>3370.9951734849105</v>
      </c>
      <c r="N4" s="13">
        <v>3370.99</v>
      </c>
      <c r="P4" s="1">
        <v>1002</v>
      </c>
      <c r="Q4" s="1"/>
      <c r="R4" s="1" t="s">
        <v>9</v>
      </c>
      <c r="S4" s="1" t="s">
        <v>16</v>
      </c>
      <c r="T4" s="1"/>
      <c r="U4" s="6">
        <v>100.215172711245</v>
      </c>
      <c r="V4" s="8">
        <f t="shared" ref="V4:V67" si="1">3.4216*U4-181.4</f>
        <v>161.49623494879594</v>
      </c>
      <c r="W4" s="13">
        <v>161.5</v>
      </c>
      <c r="Y4" s="1">
        <v>1001</v>
      </c>
      <c r="Z4" s="1"/>
      <c r="AA4" s="1" t="s">
        <v>11</v>
      </c>
      <c r="AB4" s="1" t="s">
        <v>14</v>
      </c>
      <c r="AC4" s="1" t="s">
        <v>15</v>
      </c>
      <c r="AD4" s="1">
        <v>520.84279351344196</v>
      </c>
      <c r="AE4" s="18">
        <f t="shared" ref="AE4" si="2">3.4216*AD4-181.4</f>
        <v>1600.7157022855931</v>
      </c>
      <c r="AF4" s="13">
        <v>1600.72</v>
      </c>
      <c r="AH4" s="1">
        <v>1016</v>
      </c>
      <c r="AI4" s="1"/>
      <c r="AJ4" s="1" t="s">
        <v>19</v>
      </c>
      <c r="AK4" s="1" t="s">
        <v>12</v>
      </c>
      <c r="AL4" s="1" t="s">
        <v>15</v>
      </c>
      <c r="AM4" s="1">
        <v>67.278459593694706</v>
      </c>
      <c r="AN4" s="18">
        <f t="shared" ref="AN4:AN67" si="3">3.4216*AM4-181.4</f>
        <v>48.799977345785805</v>
      </c>
      <c r="AO4" s="13">
        <v>67.28</v>
      </c>
    </row>
    <row r="5" spans="1:41" ht="30" x14ac:dyDescent="0.25">
      <c r="A5" s="8" t="s">
        <v>17</v>
      </c>
      <c r="B5" s="8">
        <f>I47+R103+AA96+AK84</f>
        <v>19095.189340694516</v>
      </c>
      <c r="C5" s="8">
        <f>B5/B4*100</f>
        <v>5.2327840911311752</v>
      </c>
      <c r="D5" s="8">
        <f>K47+T103+AC96+AM84</f>
        <v>67740.099999999991</v>
      </c>
      <c r="E5" s="8">
        <f>D5/D4*100</f>
        <v>5.4825261772837512</v>
      </c>
      <c r="G5" s="1">
        <v>32</v>
      </c>
      <c r="H5" s="1"/>
      <c r="I5" s="1" t="s">
        <v>18</v>
      </c>
      <c r="J5" s="1" t="s">
        <v>17</v>
      </c>
      <c r="K5" s="1"/>
      <c r="L5" s="1">
        <v>126.331472861473</v>
      </c>
      <c r="M5" s="8">
        <f t="shared" si="0"/>
        <v>250.85576754281604</v>
      </c>
      <c r="N5" s="13">
        <v>250.86</v>
      </c>
      <c r="P5" s="1">
        <v>1003</v>
      </c>
      <c r="Q5" s="1"/>
      <c r="R5" s="1" t="s">
        <v>9</v>
      </c>
      <c r="S5" s="1" t="s">
        <v>17</v>
      </c>
      <c r="T5" s="1"/>
      <c r="U5" s="6">
        <v>18.240023082288602</v>
      </c>
      <c r="V5" s="8">
        <f t="shared" si="1"/>
        <v>-118.98993702164132</v>
      </c>
      <c r="W5" s="13">
        <v>18.239999999999998</v>
      </c>
      <c r="Y5" s="1">
        <v>1017</v>
      </c>
      <c r="Z5" s="1"/>
      <c r="AA5" s="1" t="s">
        <v>11</v>
      </c>
      <c r="AB5" s="1" t="s">
        <v>12</v>
      </c>
      <c r="AC5" s="1" t="s">
        <v>24</v>
      </c>
      <c r="AD5" s="1">
        <v>183.50410006458301</v>
      </c>
      <c r="AE5" s="18">
        <f t="shared" ref="AE5:AE36" si="4">3.4216*AD5-181.4</f>
        <v>446.47762878097728</v>
      </c>
      <c r="AF5" s="13">
        <v>446.48</v>
      </c>
      <c r="AH5" s="1">
        <v>102</v>
      </c>
      <c r="AI5" s="2">
        <v>3500</v>
      </c>
      <c r="AJ5" s="1" t="s">
        <v>19</v>
      </c>
      <c r="AK5" s="1" t="s">
        <v>16</v>
      </c>
      <c r="AL5" s="1" t="s">
        <v>21</v>
      </c>
      <c r="AM5" s="1">
        <v>1604.9695763879299</v>
      </c>
      <c r="AN5" s="18">
        <f t="shared" si="3"/>
        <v>5310.1639025689419</v>
      </c>
      <c r="AO5" s="13">
        <v>3500</v>
      </c>
    </row>
    <row r="6" spans="1:41" ht="30" x14ac:dyDescent="0.25">
      <c r="A6" s="8" t="s">
        <v>14</v>
      </c>
      <c r="B6" s="8">
        <f>I48+R104+AA97+AK85</f>
        <v>55748.975187041644</v>
      </c>
      <c r="C6" s="8">
        <f>B6/B4*100</f>
        <v>15.277269329501596</v>
      </c>
      <c r="D6" s="8">
        <f t="shared" ref="D6:D7" si="5">K48+T104+AC97+AM85</f>
        <v>187111.81999999998</v>
      </c>
      <c r="E6" s="8">
        <f>D6/D4*100</f>
        <v>15.143843177515318</v>
      </c>
      <c r="G6" s="1">
        <v>33</v>
      </c>
      <c r="H6" s="1"/>
      <c r="I6" s="1" t="s">
        <v>18</v>
      </c>
      <c r="J6" s="1" t="s">
        <v>16</v>
      </c>
      <c r="K6" s="1"/>
      <c r="L6" s="1">
        <v>4540.8912399412902</v>
      </c>
      <c r="M6" s="8">
        <f t="shared" si="0"/>
        <v>15355.71346658312</v>
      </c>
      <c r="N6" s="13">
        <v>15355.71</v>
      </c>
      <c r="P6" s="1">
        <v>1005</v>
      </c>
      <c r="Q6" s="1"/>
      <c r="R6" s="1" t="s">
        <v>9</v>
      </c>
      <c r="S6" s="1" t="s">
        <v>14</v>
      </c>
      <c r="T6" s="1"/>
      <c r="U6" s="6">
        <v>102.414107605589</v>
      </c>
      <c r="V6" s="8">
        <f t="shared" si="1"/>
        <v>169.0201105832833</v>
      </c>
      <c r="W6" s="13">
        <v>169.02</v>
      </c>
      <c r="Y6" s="1">
        <v>1018</v>
      </c>
      <c r="Z6" s="1"/>
      <c r="AA6" s="1" t="s">
        <v>11</v>
      </c>
      <c r="AB6" s="1" t="s">
        <v>14</v>
      </c>
      <c r="AC6" s="1" t="s">
        <v>13</v>
      </c>
      <c r="AD6" s="1">
        <v>67.0635809442538</v>
      </c>
      <c r="AE6" s="18">
        <f t="shared" si="4"/>
        <v>48.06474855885881</v>
      </c>
      <c r="AF6" s="13">
        <v>67.06</v>
      </c>
      <c r="AH6" s="1">
        <v>103</v>
      </c>
      <c r="AI6" s="2">
        <v>15000</v>
      </c>
      <c r="AJ6" s="1" t="s">
        <v>19</v>
      </c>
      <c r="AK6" s="1" t="s">
        <v>16</v>
      </c>
      <c r="AL6" s="1" t="s">
        <v>29</v>
      </c>
      <c r="AM6" s="1">
        <v>3226.4660335744802</v>
      </c>
      <c r="AN6" s="18">
        <f t="shared" si="3"/>
        <v>10858.276180478442</v>
      </c>
      <c r="AO6" s="13">
        <v>15000</v>
      </c>
    </row>
    <row r="7" spans="1:41" ht="30" x14ac:dyDescent="0.25">
      <c r="A7" s="8" t="s">
        <v>12</v>
      </c>
      <c r="B7" s="8">
        <f t="shared" ref="B7" si="6">I49+R105+AA98+AK86</f>
        <v>38398.153120092371</v>
      </c>
      <c r="C7" s="8">
        <f>B7/B4*100</f>
        <v>10.522506019221813</v>
      </c>
      <c r="D7" s="8">
        <f t="shared" si="5"/>
        <v>116617.98999999999</v>
      </c>
      <c r="E7" s="8">
        <f>D7/D4*100</f>
        <v>9.4384446275871277</v>
      </c>
      <c r="G7" s="1">
        <v>34</v>
      </c>
      <c r="H7" s="1"/>
      <c r="I7" s="1" t="s">
        <v>18</v>
      </c>
      <c r="J7" s="1" t="s">
        <v>12</v>
      </c>
      <c r="K7" s="1"/>
      <c r="L7" s="1">
        <v>146.35734571469899</v>
      </c>
      <c r="M7" s="8">
        <f t="shared" si="0"/>
        <v>319.37629409741407</v>
      </c>
      <c r="N7" s="13">
        <v>319.38</v>
      </c>
      <c r="P7" s="1">
        <v>1006</v>
      </c>
      <c r="Q7" s="1"/>
      <c r="R7" s="1" t="s">
        <v>9</v>
      </c>
      <c r="S7" s="1" t="s">
        <v>12</v>
      </c>
      <c r="T7" s="1"/>
      <c r="U7" s="6">
        <v>970.60265686167497</v>
      </c>
      <c r="V7" s="8">
        <f t="shared" si="1"/>
        <v>3139.614050717907</v>
      </c>
      <c r="W7" s="13">
        <v>3139.61</v>
      </c>
      <c r="Y7" s="1">
        <v>1019</v>
      </c>
      <c r="Z7" s="1"/>
      <c r="AA7" s="1" t="s">
        <v>11</v>
      </c>
      <c r="AB7" s="1" t="s">
        <v>16</v>
      </c>
      <c r="AC7" s="1" t="s">
        <v>23</v>
      </c>
      <c r="AD7" s="1">
        <v>149.06543921559799</v>
      </c>
      <c r="AE7" s="18">
        <f t="shared" si="4"/>
        <v>328.64230682009008</v>
      </c>
      <c r="AF7" s="13">
        <v>328.64</v>
      </c>
      <c r="AH7" s="1">
        <v>105</v>
      </c>
      <c r="AI7" s="2">
        <v>5000</v>
      </c>
      <c r="AJ7" s="1" t="s">
        <v>19</v>
      </c>
      <c r="AK7" s="1" t="s">
        <v>16</v>
      </c>
      <c r="AL7" s="1" t="s">
        <v>21</v>
      </c>
      <c r="AM7" s="1">
        <v>1472.17042298708</v>
      </c>
      <c r="AN7" s="18">
        <f t="shared" si="3"/>
        <v>4855.7783192925936</v>
      </c>
      <c r="AO7" s="13">
        <v>5000</v>
      </c>
    </row>
    <row r="8" spans="1:41" ht="30" x14ac:dyDescent="0.25">
      <c r="A8" s="8" t="s">
        <v>35</v>
      </c>
      <c r="B8" s="8">
        <f>R108</f>
        <v>625.30961639195903</v>
      </c>
      <c r="C8" s="8">
        <f>B8/B4*100</f>
        <v>0.17135783020039802</v>
      </c>
      <c r="D8" s="8">
        <v>1750</v>
      </c>
      <c r="E8" s="8">
        <f>D8/D4*100</f>
        <v>0.14163576390124263</v>
      </c>
      <c r="G8" s="1">
        <v>35</v>
      </c>
      <c r="H8" s="2">
        <v>15000</v>
      </c>
      <c r="I8" s="1" t="s">
        <v>18</v>
      </c>
      <c r="J8" s="1" t="s">
        <v>10</v>
      </c>
      <c r="K8" s="1"/>
      <c r="L8" s="1">
        <v>4011.97749657135</v>
      </c>
      <c r="M8" s="8">
        <f t="shared" si="0"/>
        <v>13545.982202268533</v>
      </c>
      <c r="N8" s="13">
        <v>15000</v>
      </c>
      <c r="P8" s="1">
        <v>1007</v>
      </c>
      <c r="Q8" s="1"/>
      <c r="R8" s="1" t="s">
        <v>9</v>
      </c>
      <c r="S8" s="1" t="s">
        <v>10</v>
      </c>
      <c r="T8" s="1"/>
      <c r="U8" s="6">
        <v>79.260959087631406</v>
      </c>
      <c r="V8" s="8">
        <f t="shared" si="1"/>
        <v>89.799297614239634</v>
      </c>
      <c r="W8" s="13">
        <v>89.8</v>
      </c>
      <c r="Y8" s="1">
        <v>1020</v>
      </c>
      <c r="Z8" s="1"/>
      <c r="AA8" s="1" t="s">
        <v>11</v>
      </c>
      <c r="AB8" s="1" t="s">
        <v>14</v>
      </c>
      <c r="AC8" s="1" t="s">
        <v>15</v>
      </c>
      <c r="AD8" s="1">
        <v>90.766841482970506</v>
      </c>
      <c r="AE8" s="18">
        <f t="shared" si="4"/>
        <v>129.16782481813189</v>
      </c>
      <c r="AF8" s="13">
        <v>129.16999999999999</v>
      </c>
      <c r="AH8" s="1">
        <v>106</v>
      </c>
      <c r="AI8" s="22">
        <v>6000</v>
      </c>
      <c r="AJ8" s="1" t="s">
        <v>19</v>
      </c>
      <c r="AK8" s="1" t="s">
        <v>10</v>
      </c>
      <c r="AL8" s="1" t="s">
        <v>29</v>
      </c>
      <c r="AM8" s="1">
        <v>4183.5113465580098</v>
      </c>
      <c r="AN8" s="18">
        <f t="shared" si="3"/>
        <v>14132.902423382888</v>
      </c>
      <c r="AO8" s="13">
        <v>14132.9</v>
      </c>
    </row>
    <row r="9" spans="1:41" ht="30" x14ac:dyDescent="0.25">
      <c r="A9" s="8" t="s">
        <v>34</v>
      </c>
      <c r="B9" s="8">
        <f>R109</f>
        <v>980.65177165355306</v>
      </c>
      <c r="C9" s="8">
        <f>B9/B4*100</f>
        <v>0.26873464819289788</v>
      </c>
      <c r="D9" s="8">
        <v>1200</v>
      </c>
      <c r="E9" s="8">
        <f>D9/D4*100</f>
        <v>9.7121666675137802E-2</v>
      </c>
      <c r="G9" s="1">
        <v>36</v>
      </c>
      <c r="H9" s="1"/>
      <c r="I9" s="1" t="s">
        <v>18</v>
      </c>
      <c r="J9" s="1" t="s">
        <v>17</v>
      </c>
      <c r="K9" s="1"/>
      <c r="L9" s="1">
        <v>301.20052023236599</v>
      </c>
      <c r="M9" s="8">
        <f t="shared" si="0"/>
        <v>849.18770002706344</v>
      </c>
      <c r="N9" s="13">
        <v>849.19</v>
      </c>
      <c r="P9" s="1">
        <v>1008</v>
      </c>
      <c r="Q9" s="1"/>
      <c r="R9" s="1" t="s">
        <v>9</v>
      </c>
      <c r="S9" s="1" t="s">
        <v>10</v>
      </c>
      <c r="T9" s="1"/>
      <c r="U9" s="6">
        <v>810.79277887837395</v>
      </c>
      <c r="V9" s="8">
        <f t="shared" si="1"/>
        <v>2592.8085722102442</v>
      </c>
      <c r="W9" s="13">
        <v>2592.81</v>
      </c>
      <c r="Y9" s="1">
        <v>219</v>
      </c>
      <c r="Z9" s="2">
        <v>5000</v>
      </c>
      <c r="AA9" s="1" t="s">
        <v>11</v>
      </c>
      <c r="AB9" s="1" t="s">
        <v>12</v>
      </c>
      <c r="AC9" s="1" t="s">
        <v>21</v>
      </c>
      <c r="AD9" s="1">
        <v>1502.3853528975401</v>
      </c>
      <c r="AE9" s="18">
        <f t="shared" si="4"/>
        <v>4959.1617234742234</v>
      </c>
      <c r="AF9" s="13">
        <v>5000</v>
      </c>
      <c r="AH9" s="1">
        <v>109</v>
      </c>
      <c r="AI9" s="2">
        <v>11500</v>
      </c>
      <c r="AJ9" s="1" t="s">
        <v>19</v>
      </c>
      <c r="AK9" s="1" t="s">
        <v>10</v>
      </c>
      <c r="AL9" s="1" t="s">
        <v>31</v>
      </c>
      <c r="AM9" s="1">
        <v>2092.26166970229</v>
      </c>
      <c r="AN9" s="18">
        <f t="shared" si="3"/>
        <v>6977.4825290533563</v>
      </c>
      <c r="AO9" s="13">
        <v>11500</v>
      </c>
    </row>
    <row r="10" spans="1:41" ht="30" x14ac:dyDescent="0.25">
      <c r="A10" s="8" t="s">
        <v>100</v>
      </c>
      <c r="B10" s="8">
        <f>R107+AA100</f>
        <v>18197.732413123431</v>
      </c>
      <c r="C10" s="8">
        <f>B10/B4*100</f>
        <v>4.9868478896471089</v>
      </c>
      <c r="D10" s="8">
        <f>T107+AC100</f>
        <v>54141.869999999995</v>
      </c>
      <c r="E10" s="8">
        <f>D10/D4*100</f>
        <v>4.3819572094238683</v>
      </c>
      <c r="G10" s="1">
        <v>39</v>
      </c>
      <c r="H10" s="2">
        <v>9000</v>
      </c>
      <c r="I10" s="1" t="s">
        <v>18</v>
      </c>
      <c r="J10" s="1" t="s">
        <v>12</v>
      </c>
      <c r="K10" s="1"/>
      <c r="L10" s="1">
        <v>3598.7052856683899</v>
      </c>
      <c r="M10" s="8">
        <f t="shared" si="0"/>
        <v>12131.930005442964</v>
      </c>
      <c r="N10" s="13">
        <v>9000</v>
      </c>
      <c r="P10" s="1">
        <v>1025</v>
      </c>
      <c r="Q10" s="1"/>
      <c r="R10" s="1" t="s">
        <v>9</v>
      </c>
      <c r="S10" s="1" t="s">
        <v>12</v>
      </c>
      <c r="T10" s="1" t="s">
        <v>24</v>
      </c>
      <c r="U10" s="6">
        <v>167.00385637518499</v>
      </c>
      <c r="V10" s="8">
        <f t="shared" si="1"/>
        <v>390.02039497333305</v>
      </c>
      <c r="W10" s="13">
        <v>390.02</v>
      </c>
      <c r="Y10" s="1">
        <v>222</v>
      </c>
      <c r="Z10" s="2">
        <v>3500</v>
      </c>
      <c r="AA10" s="1" t="s">
        <v>11</v>
      </c>
      <c r="AB10" s="1" t="s">
        <v>16</v>
      </c>
      <c r="AC10" s="1" t="s">
        <v>31</v>
      </c>
      <c r="AD10" s="1">
        <v>1322.4699610739001</v>
      </c>
      <c r="AE10" s="18">
        <f t="shared" si="4"/>
        <v>4343.5632188104573</v>
      </c>
      <c r="AF10" s="13">
        <v>3500</v>
      </c>
      <c r="AH10" s="1">
        <v>111</v>
      </c>
      <c r="AI10" s="1"/>
      <c r="AJ10" s="1" t="s">
        <v>19</v>
      </c>
      <c r="AK10" s="1" t="s">
        <v>12</v>
      </c>
      <c r="AL10" s="1" t="s">
        <v>22</v>
      </c>
      <c r="AM10" s="1">
        <v>1012.07369735112</v>
      </c>
      <c r="AN10" s="18">
        <f t="shared" si="3"/>
        <v>3281.5113628565923</v>
      </c>
      <c r="AO10" s="13">
        <v>3281.51</v>
      </c>
    </row>
    <row r="11" spans="1:41" ht="30" x14ac:dyDescent="0.25">
      <c r="A11" s="8" t="s">
        <v>99</v>
      </c>
      <c r="B11" s="8">
        <f>I50+R106+AA99+AK87</f>
        <v>231868.51604045392</v>
      </c>
      <c r="C11" s="8">
        <f>B11/B4*100</f>
        <v>63.540500192104986</v>
      </c>
      <c r="D11" s="8">
        <f>K50+T106+AC99+AM87</f>
        <v>807001.86</v>
      </c>
      <c r="E11" s="8">
        <f>D11/D4*100</f>
        <v>65.314471377613515</v>
      </c>
      <c r="G11" s="1">
        <v>40</v>
      </c>
      <c r="H11" s="1"/>
      <c r="I11" s="1" t="s">
        <v>18</v>
      </c>
      <c r="J11" s="1" t="s">
        <v>12</v>
      </c>
      <c r="K11" s="1"/>
      <c r="L11" s="1">
        <v>644.92192600256203</v>
      </c>
      <c r="M11" s="8">
        <f t="shared" si="0"/>
        <v>2025.2648620103664</v>
      </c>
      <c r="N11" s="13">
        <v>2025.26</v>
      </c>
      <c r="P11" s="1">
        <v>124</v>
      </c>
      <c r="Q11" s="1"/>
      <c r="R11" s="1" t="s">
        <v>9</v>
      </c>
      <c r="S11" s="1" t="s">
        <v>12</v>
      </c>
      <c r="T11" s="1"/>
      <c r="U11" s="6">
        <v>340.979242858715</v>
      </c>
      <c r="V11" s="8">
        <f t="shared" si="1"/>
        <v>985.29457736537927</v>
      </c>
      <c r="W11" s="13">
        <v>985.3</v>
      </c>
      <c r="Y11" s="1">
        <v>232</v>
      </c>
      <c r="Z11" s="1"/>
      <c r="AA11" s="1" t="s">
        <v>11</v>
      </c>
      <c r="AB11" s="1" t="s">
        <v>10</v>
      </c>
      <c r="AC11" s="1" t="s">
        <v>22</v>
      </c>
      <c r="AD11" s="1">
        <v>1395.27906794301</v>
      </c>
      <c r="AE11" s="18">
        <f t="shared" si="4"/>
        <v>4592.6868588738034</v>
      </c>
      <c r="AF11" s="13">
        <v>4592.6899999999996</v>
      </c>
      <c r="AH11" s="1">
        <v>114</v>
      </c>
      <c r="AI11" s="2">
        <v>5605</v>
      </c>
      <c r="AJ11" s="1" t="s">
        <v>19</v>
      </c>
      <c r="AK11" s="1" t="s">
        <v>16</v>
      </c>
      <c r="AL11" s="1" t="s">
        <v>23</v>
      </c>
      <c r="AM11" s="1">
        <v>1182.0340421078399</v>
      </c>
      <c r="AN11" s="18">
        <f t="shared" si="3"/>
        <v>3863.0476784761854</v>
      </c>
      <c r="AO11" s="13">
        <v>5605</v>
      </c>
    </row>
    <row r="12" spans="1:41" ht="30" x14ac:dyDescent="0.25">
      <c r="G12" s="1">
        <v>41</v>
      </c>
      <c r="H12" s="1"/>
      <c r="I12" s="1" t="s">
        <v>18</v>
      </c>
      <c r="J12" s="1" t="s">
        <v>14</v>
      </c>
      <c r="K12" s="1"/>
      <c r="L12" s="1">
        <v>1975.0978327129801</v>
      </c>
      <c r="M12" s="8">
        <f t="shared" si="0"/>
        <v>6576.5947444107333</v>
      </c>
      <c r="N12" s="13">
        <v>6576.59</v>
      </c>
      <c r="P12" s="1">
        <v>125</v>
      </c>
      <c r="Q12" s="21">
        <v>600</v>
      </c>
      <c r="R12" s="1" t="s">
        <v>9</v>
      </c>
      <c r="S12" s="1" t="s">
        <v>16</v>
      </c>
      <c r="T12" s="1"/>
      <c r="U12" s="6">
        <v>1115.85696942401</v>
      </c>
      <c r="V12" s="8">
        <f t="shared" si="1"/>
        <v>3636.6162065811927</v>
      </c>
      <c r="W12" s="13">
        <v>3636.61</v>
      </c>
      <c r="Y12" s="1">
        <v>233</v>
      </c>
      <c r="Z12" s="1"/>
      <c r="AA12" s="1" t="s">
        <v>11</v>
      </c>
      <c r="AB12" s="1" t="s">
        <v>17</v>
      </c>
      <c r="AC12" s="1" t="s">
        <v>20</v>
      </c>
      <c r="AD12" s="1">
        <v>1069.34423966028</v>
      </c>
      <c r="AE12" s="18">
        <f t="shared" si="4"/>
        <v>3477.4682504216139</v>
      </c>
      <c r="AF12" s="13">
        <v>3477.47</v>
      </c>
      <c r="AH12" s="1">
        <v>120</v>
      </c>
      <c r="AI12" s="1"/>
      <c r="AJ12" s="1" t="s">
        <v>19</v>
      </c>
      <c r="AK12" s="1" t="s">
        <v>12</v>
      </c>
      <c r="AL12" s="1" t="s">
        <v>13</v>
      </c>
      <c r="AM12" s="1">
        <v>866.82989044804401</v>
      </c>
      <c r="AN12" s="18">
        <f t="shared" si="3"/>
        <v>2784.5451531570275</v>
      </c>
      <c r="AO12" s="13">
        <v>2784.55</v>
      </c>
    </row>
    <row r="13" spans="1:41" ht="30" x14ac:dyDescent="0.25">
      <c r="G13" s="1">
        <v>42</v>
      </c>
      <c r="H13" s="21">
        <v>300</v>
      </c>
      <c r="I13" s="1" t="s">
        <v>18</v>
      </c>
      <c r="J13" s="1" t="s">
        <v>10</v>
      </c>
      <c r="K13" s="1"/>
      <c r="L13" s="1">
        <v>1527.43105073999</v>
      </c>
      <c r="M13" s="8">
        <f t="shared" si="0"/>
        <v>5044.8580832119505</v>
      </c>
      <c r="N13" s="13">
        <v>5044.8500000000004</v>
      </c>
      <c r="P13" s="1">
        <v>126</v>
      </c>
      <c r="Q13" s="1"/>
      <c r="R13" s="1" t="s">
        <v>9</v>
      </c>
      <c r="S13" s="1" t="s">
        <v>10</v>
      </c>
      <c r="T13" s="1"/>
      <c r="U13" s="6">
        <v>1357.76419354737</v>
      </c>
      <c r="V13" s="8">
        <f t="shared" si="1"/>
        <v>4464.3259646416818</v>
      </c>
      <c r="W13" s="13">
        <v>4464.33</v>
      </c>
      <c r="Y13" s="1">
        <v>234</v>
      </c>
      <c r="Z13" s="1"/>
      <c r="AA13" s="1" t="s">
        <v>11</v>
      </c>
      <c r="AB13" s="1" t="s">
        <v>16</v>
      </c>
      <c r="AC13" s="1" t="s">
        <v>22</v>
      </c>
      <c r="AD13" s="1">
        <v>2121.7377835406701</v>
      </c>
      <c r="AE13" s="18">
        <f t="shared" si="4"/>
        <v>7078.3380001627575</v>
      </c>
      <c r="AF13" s="13">
        <v>7078.34</v>
      </c>
      <c r="AH13" s="1">
        <v>123</v>
      </c>
      <c r="AI13" s="1"/>
      <c r="AJ13" s="1" t="s">
        <v>19</v>
      </c>
      <c r="AK13" s="1" t="s">
        <v>16</v>
      </c>
      <c r="AL13" s="1" t="s">
        <v>13</v>
      </c>
      <c r="AM13" s="1">
        <v>585.50326861316205</v>
      </c>
      <c r="AN13" s="18">
        <f t="shared" si="3"/>
        <v>1821.9579838867953</v>
      </c>
      <c r="AO13" s="13">
        <v>1821.96</v>
      </c>
    </row>
    <row r="14" spans="1:41" ht="30" x14ac:dyDescent="0.25">
      <c r="G14" s="1">
        <v>43</v>
      </c>
      <c r="H14" s="2">
        <v>10000</v>
      </c>
      <c r="I14" s="1" t="s">
        <v>18</v>
      </c>
      <c r="J14" s="1" t="s">
        <v>10</v>
      </c>
      <c r="K14" s="1"/>
      <c r="L14" s="1">
        <v>1358.7439066178799</v>
      </c>
      <c r="M14" s="8">
        <f t="shared" si="0"/>
        <v>4467.6781508837385</v>
      </c>
      <c r="N14" s="13">
        <v>10000</v>
      </c>
      <c r="P14" s="1">
        <v>127</v>
      </c>
      <c r="Q14" s="22">
        <v>1200</v>
      </c>
      <c r="R14" s="1" t="s">
        <v>9</v>
      </c>
      <c r="S14" s="1" t="s">
        <v>16</v>
      </c>
      <c r="T14" s="1"/>
      <c r="U14" s="6">
        <v>1057.77668913357</v>
      </c>
      <c r="V14" s="8">
        <f t="shared" si="1"/>
        <v>3437.8887195394232</v>
      </c>
      <c r="W14" s="13">
        <v>3437.89</v>
      </c>
      <c r="Y14" s="1">
        <v>238</v>
      </c>
      <c r="Z14" s="2">
        <v>18000</v>
      </c>
      <c r="AA14" s="1" t="s">
        <v>11</v>
      </c>
      <c r="AB14" s="1" t="s">
        <v>17</v>
      </c>
      <c r="AC14" s="1" t="s">
        <v>29</v>
      </c>
      <c r="AD14" s="1">
        <v>3554.0029172706099</v>
      </c>
      <c r="AE14" s="18">
        <f t="shared" si="4"/>
        <v>11978.97638173312</v>
      </c>
      <c r="AF14" s="13">
        <v>18000</v>
      </c>
      <c r="AH14" s="1">
        <v>129</v>
      </c>
      <c r="AI14" s="1">
        <v>720</v>
      </c>
      <c r="AJ14" s="1" t="s">
        <v>19</v>
      </c>
      <c r="AK14" s="1" t="s">
        <v>14</v>
      </c>
      <c r="AL14" s="1" t="s">
        <v>21</v>
      </c>
      <c r="AM14" s="1">
        <v>218.75685346471101</v>
      </c>
      <c r="AN14" s="18">
        <f t="shared" si="3"/>
        <v>567.09844981485526</v>
      </c>
      <c r="AO14" s="13">
        <v>720</v>
      </c>
    </row>
    <row r="15" spans="1:41" ht="30" x14ac:dyDescent="0.25">
      <c r="G15" s="1">
        <v>44</v>
      </c>
      <c r="H15" s="22">
        <v>4000</v>
      </c>
      <c r="I15" s="1" t="s">
        <v>18</v>
      </c>
      <c r="J15" s="1" t="s">
        <v>10</v>
      </c>
      <c r="K15" s="1"/>
      <c r="L15" s="1">
        <v>2165.19697004004</v>
      </c>
      <c r="M15" s="8">
        <f t="shared" si="0"/>
        <v>7227.0379526890019</v>
      </c>
      <c r="N15" s="13">
        <v>7227.04</v>
      </c>
      <c r="P15" s="1">
        <v>128</v>
      </c>
      <c r="Q15" s="1"/>
      <c r="R15" s="1" t="s">
        <v>9</v>
      </c>
      <c r="S15" s="1" t="s">
        <v>10</v>
      </c>
      <c r="T15" s="1"/>
      <c r="U15" s="6">
        <v>1555.10453059256</v>
      </c>
      <c r="V15" s="8">
        <f t="shared" si="1"/>
        <v>5139.5456618755043</v>
      </c>
      <c r="W15" s="13">
        <v>5139.55</v>
      </c>
      <c r="Y15" s="1">
        <v>240</v>
      </c>
      <c r="Z15" s="1"/>
      <c r="AA15" s="1" t="s">
        <v>11</v>
      </c>
      <c r="AB15" s="1" t="s">
        <v>10</v>
      </c>
      <c r="AC15" s="1">
        <v>0</v>
      </c>
      <c r="AD15" s="1">
        <v>172.256591934982</v>
      </c>
      <c r="AE15" s="18">
        <f t="shared" si="4"/>
        <v>407.99315496473446</v>
      </c>
      <c r="AF15" s="13">
        <v>407.99</v>
      </c>
      <c r="AH15" s="1">
        <v>130</v>
      </c>
      <c r="AI15" s="22">
        <v>4000</v>
      </c>
      <c r="AJ15" s="1" t="s">
        <v>19</v>
      </c>
      <c r="AK15" s="1" t="s">
        <v>16</v>
      </c>
      <c r="AL15" s="1" t="s">
        <v>29</v>
      </c>
      <c r="AM15" s="1">
        <v>5542.6486422321996</v>
      </c>
      <c r="AN15" s="18">
        <f t="shared" si="3"/>
        <v>18783.326594261693</v>
      </c>
      <c r="AO15" s="13">
        <v>18783.330000000002</v>
      </c>
    </row>
    <row r="16" spans="1:41" ht="30" x14ac:dyDescent="0.25">
      <c r="G16" s="1">
        <v>45</v>
      </c>
      <c r="H16" s="1"/>
      <c r="I16" s="1" t="s">
        <v>18</v>
      </c>
      <c r="J16" s="1" t="s">
        <v>12</v>
      </c>
      <c r="K16" s="1"/>
      <c r="L16" s="1">
        <v>1744.89485041957</v>
      </c>
      <c r="M16" s="8">
        <f t="shared" si="0"/>
        <v>5788.932220195602</v>
      </c>
      <c r="N16" s="13">
        <v>5788.93</v>
      </c>
      <c r="P16" s="1">
        <v>131</v>
      </c>
      <c r="Q16" s="1"/>
      <c r="R16" s="1" t="s">
        <v>9</v>
      </c>
      <c r="S16" s="1" t="s">
        <v>16</v>
      </c>
      <c r="T16" s="1"/>
      <c r="U16" s="6">
        <v>370.85122609898798</v>
      </c>
      <c r="V16" s="8">
        <f t="shared" si="1"/>
        <v>1087.5045552202973</v>
      </c>
      <c r="W16" s="13">
        <v>1087.5</v>
      </c>
      <c r="Y16" s="1">
        <v>241</v>
      </c>
      <c r="Z16" s="1">
        <v>450</v>
      </c>
      <c r="AA16" s="1" t="s">
        <v>11</v>
      </c>
      <c r="AB16" s="1" t="s">
        <v>16</v>
      </c>
      <c r="AC16" s="1" t="s">
        <v>23</v>
      </c>
      <c r="AD16" s="1">
        <v>273.594395206439</v>
      </c>
      <c r="AE16" s="18">
        <f t="shared" si="4"/>
        <v>754.73058263835173</v>
      </c>
      <c r="AF16" s="13">
        <v>754.73</v>
      </c>
      <c r="AH16" s="1">
        <v>136</v>
      </c>
      <c r="AI16" s="22">
        <v>1200</v>
      </c>
      <c r="AJ16" s="1" t="s">
        <v>19</v>
      </c>
      <c r="AK16" s="1" t="s">
        <v>16</v>
      </c>
      <c r="AL16" s="1" t="s">
        <v>29</v>
      </c>
      <c r="AM16" s="1">
        <v>1398.1230726577301</v>
      </c>
      <c r="AN16" s="18">
        <f t="shared" si="3"/>
        <v>4602.4179054056895</v>
      </c>
      <c r="AO16" s="13">
        <v>4602.42</v>
      </c>
    </row>
    <row r="17" spans="7:41" ht="30" x14ac:dyDescent="0.25">
      <c r="G17" s="1">
        <v>47</v>
      </c>
      <c r="H17" s="2">
        <v>5000</v>
      </c>
      <c r="I17" s="1" t="s">
        <v>18</v>
      </c>
      <c r="J17" s="1" t="s">
        <v>17</v>
      </c>
      <c r="K17" s="1"/>
      <c r="L17" s="1">
        <v>1686.1448305735601</v>
      </c>
      <c r="M17" s="8">
        <f t="shared" si="0"/>
        <v>5587.9131522904936</v>
      </c>
      <c r="N17" s="13">
        <v>5000</v>
      </c>
      <c r="P17" s="1">
        <v>132</v>
      </c>
      <c r="Q17" s="22">
        <v>1500</v>
      </c>
      <c r="R17" s="1" t="s">
        <v>9</v>
      </c>
      <c r="S17" s="1" t="s">
        <v>16</v>
      </c>
      <c r="T17" s="1"/>
      <c r="U17" s="6">
        <v>1257.0664467468901</v>
      </c>
      <c r="V17" s="8">
        <f t="shared" si="1"/>
        <v>4119.7785541891599</v>
      </c>
      <c r="W17" s="13">
        <v>4119.78</v>
      </c>
      <c r="Y17" s="1">
        <v>242</v>
      </c>
      <c r="Z17" s="1"/>
      <c r="AA17" s="1" t="s">
        <v>11</v>
      </c>
      <c r="AB17" s="1" t="s">
        <v>17</v>
      </c>
      <c r="AC17" s="1" t="s">
        <v>20</v>
      </c>
      <c r="AD17" s="1">
        <v>1200.7434774808701</v>
      </c>
      <c r="AE17" s="18">
        <f t="shared" si="4"/>
        <v>3927.0638825485453</v>
      </c>
      <c r="AF17" s="13">
        <v>3927.06</v>
      </c>
      <c r="AH17" s="1">
        <v>149</v>
      </c>
      <c r="AI17" s="1"/>
      <c r="AJ17" s="1" t="s">
        <v>19</v>
      </c>
      <c r="AK17" s="1" t="s">
        <v>17</v>
      </c>
      <c r="AL17" s="1" t="s">
        <v>22</v>
      </c>
      <c r="AM17" s="1">
        <v>226.90957113305399</v>
      </c>
      <c r="AN17" s="18">
        <f t="shared" si="3"/>
        <v>594.99378858885757</v>
      </c>
      <c r="AO17" s="13">
        <v>594.99</v>
      </c>
    </row>
    <row r="18" spans="7:41" ht="30" x14ac:dyDescent="0.25">
      <c r="G18" s="1">
        <v>48</v>
      </c>
      <c r="H18" s="2">
        <v>6000</v>
      </c>
      <c r="I18" s="1" t="s">
        <v>18</v>
      </c>
      <c r="J18" s="1" t="s">
        <v>14</v>
      </c>
      <c r="K18" s="1"/>
      <c r="L18" s="1">
        <v>1886.4773804700701</v>
      </c>
      <c r="M18" s="8">
        <f t="shared" si="0"/>
        <v>6273.3710050163927</v>
      </c>
      <c r="N18" s="13">
        <v>6000</v>
      </c>
      <c r="P18" s="1">
        <v>133</v>
      </c>
      <c r="Q18" s="2">
        <v>7000</v>
      </c>
      <c r="R18" s="1" t="s">
        <v>9</v>
      </c>
      <c r="S18" s="1" t="s">
        <v>16</v>
      </c>
      <c r="T18" s="1"/>
      <c r="U18" s="6">
        <v>3017.53458560338</v>
      </c>
      <c r="V18" s="8">
        <f t="shared" si="1"/>
        <v>10143.396338100527</v>
      </c>
      <c r="W18" s="13">
        <v>7000</v>
      </c>
      <c r="Y18" s="1">
        <v>243</v>
      </c>
      <c r="Z18" s="22">
        <v>3000</v>
      </c>
      <c r="AA18" s="1" t="s">
        <v>11</v>
      </c>
      <c r="AB18" s="1" t="s">
        <v>12</v>
      </c>
      <c r="AC18" s="1" t="s">
        <v>21</v>
      </c>
      <c r="AD18" s="1">
        <v>3114.9786385095499</v>
      </c>
      <c r="AE18" s="18">
        <f t="shared" si="4"/>
        <v>10476.810909524276</v>
      </c>
      <c r="AF18" s="13">
        <v>10476.81</v>
      </c>
      <c r="AH18" s="1">
        <v>150</v>
      </c>
      <c r="AI18" s="2">
        <v>5500</v>
      </c>
      <c r="AJ18" s="1" t="s">
        <v>19</v>
      </c>
      <c r="AK18" s="1" t="s">
        <v>16</v>
      </c>
      <c r="AL18" s="1" t="s">
        <v>29</v>
      </c>
      <c r="AM18" s="1">
        <v>1879.8695281059199</v>
      </c>
      <c r="AN18" s="18">
        <f t="shared" si="3"/>
        <v>6250.761577367216</v>
      </c>
      <c r="AO18" s="13">
        <v>5500</v>
      </c>
    </row>
    <row r="19" spans="7:41" ht="30" x14ac:dyDescent="0.25">
      <c r="G19" s="1">
        <v>49</v>
      </c>
      <c r="H19" s="2">
        <v>10000</v>
      </c>
      <c r="I19" s="1" t="s">
        <v>18</v>
      </c>
      <c r="J19" s="1" t="s">
        <v>14</v>
      </c>
      <c r="K19" s="1"/>
      <c r="L19" s="1">
        <v>2536.5199186182399</v>
      </c>
      <c r="M19" s="8">
        <f t="shared" si="0"/>
        <v>8497.556553544171</v>
      </c>
      <c r="N19" s="13">
        <v>10000</v>
      </c>
      <c r="P19" s="1">
        <v>134</v>
      </c>
      <c r="Q19" s="1"/>
      <c r="R19" s="1" t="s">
        <v>9</v>
      </c>
      <c r="S19" s="1" t="s">
        <v>12</v>
      </c>
      <c r="T19" s="1"/>
      <c r="U19" s="6">
        <v>548.02296826775603</v>
      </c>
      <c r="V19" s="8">
        <f t="shared" si="1"/>
        <v>1693.715388224954</v>
      </c>
      <c r="W19" s="13">
        <v>1693.72</v>
      </c>
      <c r="Y19" s="1">
        <v>244</v>
      </c>
      <c r="Z19" s="21">
        <v>300</v>
      </c>
      <c r="AA19" s="1" t="s">
        <v>11</v>
      </c>
      <c r="AB19" s="1" t="s">
        <v>10</v>
      </c>
      <c r="AC19" s="1" t="s">
        <v>20</v>
      </c>
      <c r="AD19" s="1">
        <v>288.04879144189698</v>
      </c>
      <c r="AE19" s="18">
        <f t="shared" si="4"/>
        <v>804.18774479759475</v>
      </c>
      <c r="AF19" s="13">
        <v>804.19</v>
      </c>
      <c r="AH19" s="1">
        <v>151</v>
      </c>
      <c r="AI19" s="1"/>
      <c r="AJ19" s="1" t="s">
        <v>19</v>
      </c>
      <c r="AK19" s="1" t="s">
        <v>16</v>
      </c>
      <c r="AL19" s="1" t="s">
        <v>13</v>
      </c>
      <c r="AM19" s="1">
        <v>352.09373861504997</v>
      </c>
      <c r="AN19" s="18">
        <f t="shared" si="3"/>
        <v>1023.323936045255</v>
      </c>
      <c r="AO19" s="13">
        <v>1023.32</v>
      </c>
    </row>
    <row r="20" spans="7:41" ht="30" x14ac:dyDescent="0.25">
      <c r="G20" s="1">
        <v>50</v>
      </c>
      <c r="H20" s="1"/>
      <c r="I20" s="1" t="s">
        <v>18</v>
      </c>
      <c r="J20" s="1" t="s">
        <v>12</v>
      </c>
      <c r="K20" s="1"/>
      <c r="L20" s="1">
        <v>112.01376381290601</v>
      </c>
      <c r="M20" s="8">
        <f t="shared" si="0"/>
        <v>201.86629426223922</v>
      </c>
      <c r="N20" s="13">
        <v>201.87</v>
      </c>
      <c r="P20" s="1">
        <v>135</v>
      </c>
      <c r="Q20" s="1"/>
      <c r="R20" s="1" t="s">
        <v>9</v>
      </c>
      <c r="S20" s="1" t="s">
        <v>16</v>
      </c>
      <c r="T20" s="1"/>
      <c r="U20" s="6">
        <v>1184.4242385642201</v>
      </c>
      <c r="V20" s="8">
        <f t="shared" si="1"/>
        <v>3871.2259746713357</v>
      </c>
      <c r="W20" s="13">
        <v>3871.23</v>
      </c>
      <c r="Y20" s="1">
        <v>245</v>
      </c>
      <c r="Z20" s="1"/>
      <c r="AA20" s="1" t="s">
        <v>11</v>
      </c>
      <c r="AB20" s="1" t="s">
        <v>14</v>
      </c>
      <c r="AC20" s="1" t="s">
        <v>23</v>
      </c>
      <c r="AD20" s="1">
        <v>257.74115236166898</v>
      </c>
      <c r="AE20" s="18">
        <f t="shared" si="4"/>
        <v>700.48712692068671</v>
      </c>
      <c r="AF20" s="13">
        <v>700.49</v>
      </c>
      <c r="AH20" s="1">
        <v>152</v>
      </c>
      <c r="AI20" s="1"/>
      <c r="AJ20" s="1" t="s">
        <v>19</v>
      </c>
      <c r="AK20" s="1" t="s">
        <v>16</v>
      </c>
      <c r="AL20" s="1" t="s">
        <v>22</v>
      </c>
      <c r="AM20" s="1">
        <v>86.160285750718799</v>
      </c>
      <c r="AN20" s="18">
        <f t="shared" si="3"/>
        <v>113.40603372465947</v>
      </c>
      <c r="AO20" s="13">
        <v>113.41</v>
      </c>
    </row>
    <row r="21" spans="7:41" ht="30" x14ac:dyDescent="0.25">
      <c r="G21" s="1">
        <v>51</v>
      </c>
      <c r="H21" s="1"/>
      <c r="I21" s="1" t="s">
        <v>18</v>
      </c>
      <c r="J21" s="1" t="s">
        <v>16</v>
      </c>
      <c r="K21" s="1"/>
      <c r="L21" s="1">
        <v>1840.99271498245</v>
      </c>
      <c r="M21" s="8">
        <f t="shared" si="0"/>
        <v>6117.7406735839513</v>
      </c>
      <c r="N21" s="13">
        <v>6117.74</v>
      </c>
      <c r="P21" s="1">
        <v>137</v>
      </c>
      <c r="Q21" s="21">
        <v>500</v>
      </c>
      <c r="R21" s="1" t="s">
        <v>9</v>
      </c>
      <c r="S21" s="1" t="s">
        <v>16</v>
      </c>
      <c r="T21" s="1"/>
      <c r="U21" s="6">
        <v>563.75509753009203</v>
      </c>
      <c r="V21" s="8">
        <f t="shared" si="1"/>
        <v>1747.5444417089629</v>
      </c>
      <c r="W21" s="13">
        <v>1747.54</v>
      </c>
      <c r="Y21" s="1">
        <v>247</v>
      </c>
      <c r="Z21" s="1"/>
      <c r="AA21" s="1" t="s">
        <v>11</v>
      </c>
      <c r="AB21" s="1" t="s">
        <v>14</v>
      </c>
      <c r="AC21" s="1" t="s">
        <v>13</v>
      </c>
      <c r="AD21" s="1">
        <v>93.097472773447095</v>
      </c>
      <c r="AE21" s="18">
        <f t="shared" si="4"/>
        <v>137.14231284162659</v>
      </c>
      <c r="AF21" s="13">
        <v>137.13999999999999</v>
      </c>
      <c r="AH21" s="1">
        <v>153</v>
      </c>
      <c r="AI21" s="1"/>
      <c r="AJ21" s="1" t="s">
        <v>19</v>
      </c>
      <c r="AK21" s="1" t="s">
        <v>14</v>
      </c>
      <c r="AL21" s="1" t="s">
        <v>15</v>
      </c>
      <c r="AM21" s="1">
        <v>28.380619628517099</v>
      </c>
      <c r="AN21" s="18">
        <f t="shared" si="3"/>
        <v>-84.292871879065899</v>
      </c>
      <c r="AO21" s="13">
        <v>28.38</v>
      </c>
    </row>
    <row r="22" spans="7:41" ht="30" x14ac:dyDescent="0.25">
      <c r="G22" s="1">
        <v>53</v>
      </c>
      <c r="H22" s="2">
        <v>1600</v>
      </c>
      <c r="I22" s="1" t="s">
        <v>18</v>
      </c>
      <c r="J22" s="1" t="s">
        <v>10</v>
      </c>
      <c r="K22" s="1"/>
      <c r="L22" s="1">
        <v>530.75380553383695</v>
      </c>
      <c r="M22" s="8">
        <f t="shared" si="0"/>
        <v>1634.6272210145764</v>
      </c>
      <c r="N22" s="13">
        <v>1600</v>
      </c>
      <c r="P22" s="1">
        <v>138</v>
      </c>
      <c r="Q22" s="21">
        <v>653</v>
      </c>
      <c r="R22" s="1" t="s">
        <v>9</v>
      </c>
      <c r="S22" s="1" t="s">
        <v>14</v>
      </c>
      <c r="T22" s="1" t="s">
        <v>24</v>
      </c>
      <c r="U22" s="6">
        <v>1354.66674491357</v>
      </c>
      <c r="V22" s="8">
        <f t="shared" si="1"/>
        <v>4453.7277343962714</v>
      </c>
      <c r="W22" s="13">
        <v>4453.7299999999996</v>
      </c>
      <c r="Y22" s="1">
        <v>248</v>
      </c>
      <c r="Z22" s="2">
        <v>5400</v>
      </c>
      <c r="AA22" s="1" t="s">
        <v>11</v>
      </c>
      <c r="AB22" s="1" t="s">
        <v>16</v>
      </c>
      <c r="AC22" s="1" t="s">
        <v>32</v>
      </c>
      <c r="AD22" s="1">
        <v>1438.87895720958</v>
      </c>
      <c r="AE22" s="18">
        <f t="shared" si="4"/>
        <v>4741.8682399882991</v>
      </c>
      <c r="AF22" s="13">
        <v>5400</v>
      </c>
      <c r="AH22" s="1">
        <v>154</v>
      </c>
      <c r="AI22" s="1"/>
      <c r="AJ22" s="1" t="s">
        <v>19</v>
      </c>
      <c r="AK22" s="1" t="s">
        <v>10</v>
      </c>
      <c r="AL22" s="1" t="s">
        <v>22</v>
      </c>
      <c r="AM22" s="1">
        <v>203.91963188842999</v>
      </c>
      <c r="AN22" s="18">
        <f t="shared" si="3"/>
        <v>516.33141246945206</v>
      </c>
      <c r="AO22" s="13">
        <v>516.33000000000004</v>
      </c>
    </row>
    <row r="23" spans="7:41" ht="30" x14ac:dyDescent="0.25">
      <c r="G23" s="1">
        <v>54</v>
      </c>
      <c r="H23" s="2">
        <v>10000</v>
      </c>
      <c r="I23" s="1" t="s">
        <v>18</v>
      </c>
      <c r="J23" s="1" t="s">
        <v>12</v>
      </c>
      <c r="K23" s="1"/>
      <c r="L23" s="1">
        <v>2473.2617382918602</v>
      </c>
      <c r="M23" s="8">
        <f t="shared" si="0"/>
        <v>8281.1123637394303</v>
      </c>
      <c r="N23" s="13">
        <v>10000</v>
      </c>
      <c r="P23" s="1">
        <v>139</v>
      </c>
      <c r="Q23" s="21">
        <v>560</v>
      </c>
      <c r="R23" s="1" t="s">
        <v>9</v>
      </c>
      <c r="S23" s="1" t="s">
        <v>10</v>
      </c>
      <c r="T23" s="1"/>
      <c r="U23" s="6">
        <v>453.74110690080698</v>
      </c>
      <c r="V23" s="8">
        <f t="shared" si="1"/>
        <v>1371.1205713718011</v>
      </c>
      <c r="W23" s="13">
        <v>1371.12</v>
      </c>
      <c r="Y23" s="1">
        <v>249</v>
      </c>
      <c r="Z23" s="1">
        <v>800</v>
      </c>
      <c r="AA23" s="1" t="s">
        <v>11</v>
      </c>
      <c r="AB23" s="1" t="s">
        <v>16</v>
      </c>
      <c r="AC23" s="1" t="s">
        <v>24</v>
      </c>
      <c r="AD23" s="1">
        <v>486.21118282896202</v>
      </c>
      <c r="AE23" s="18">
        <f t="shared" si="4"/>
        <v>1482.2201831675764</v>
      </c>
      <c r="AF23" s="13">
        <v>800</v>
      </c>
      <c r="AH23" s="1">
        <v>155</v>
      </c>
      <c r="AI23" s="1"/>
      <c r="AJ23" s="1" t="s">
        <v>19</v>
      </c>
      <c r="AK23" s="1" t="s">
        <v>14</v>
      </c>
      <c r="AL23" s="1" t="s">
        <v>13</v>
      </c>
      <c r="AM23" s="1">
        <v>347.58403740570401</v>
      </c>
      <c r="AN23" s="18">
        <f t="shared" si="3"/>
        <v>1007.8935423873569</v>
      </c>
      <c r="AO23" s="13">
        <v>1007.89</v>
      </c>
    </row>
    <row r="24" spans="7:41" ht="30" x14ac:dyDescent="0.25">
      <c r="G24" s="1">
        <v>55</v>
      </c>
      <c r="H24" s="21">
        <v>160</v>
      </c>
      <c r="I24" s="1" t="s">
        <v>18</v>
      </c>
      <c r="J24" s="1" t="s">
        <v>12</v>
      </c>
      <c r="K24" s="1"/>
      <c r="L24" s="1">
        <v>170.16120597008299</v>
      </c>
      <c r="M24" s="8">
        <f t="shared" si="0"/>
        <v>400.82358234723597</v>
      </c>
      <c r="N24" s="13">
        <v>400.82</v>
      </c>
      <c r="P24" s="1">
        <v>140</v>
      </c>
      <c r="Q24" s="2">
        <v>8000</v>
      </c>
      <c r="R24" s="1" t="s">
        <v>9</v>
      </c>
      <c r="S24" s="1" t="s">
        <v>14</v>
      </c>
      <c r="T24" s="1" t="s">
        <v>21</v>
      </c>
      <c r="U24" s="6">
        <v>2771.88607135042</v>
      </c>
      <c r="V24" s="8">
        <f t="shared" si="1"/>
        <v>9302.885381732598</v>
      </c>
      <c r="W24" s="13">
        <v>8000</v>
      </c>
      <c r="Y24" s="1">
        <v>250</v>
      </c>
      <c r="Z24" s="1">
        <v>800</v>
      </c>
      <c r="AA24" s="1" t="s">
        <v>11</v>
      </c>
      <c r="AB24" s="1" t="s">
        <v>16</v>
      </c>
      <c r="AC24" s="1"/>
      <c r="AD24" s="1">
        <v>683.800781123398</v>
      </c>
      <c r="AE24" s="18">
        <f t="shared" si="4"/>
        <v>2158.2927526918188</v>
      </c>
      <c r="AF24" s="13">
        <v>800</v>
      </c>
      <c r="AH24" s="1">
        <v>156</v>
      </c>
      <c r="AI24" s="2">
        <v>5000</v>
      </c>
      <c r="AJ24" s="1" t="s">
        <v>19</v>
      </c>
      <c r="AK24" s="1" t="s">
        <v>14</v>
      </c>
      <c r="AL24" s="1" t="s">
        <v>20</v>
      </c>
      <c r="AM24" s="1">
        <v>906.11402741930601</v>
      </c>
      <c r="AN24" s="18">
        <f t="shared" si="3"/>
        <v>2918.9597562178974</v>
      </c>
      <c r="AO24" s="13">
        <v>5000</v>
      </c>
    </row>
    <row r="25" spans="7:41" ht="30" x14ac:dyDescent="0.25">
      <c r="G25" s="1">
        <v>56</v>
      </c>
      <c r="H25" s="2">
        <v>14000</v>
      </c>
      <c r="I25" s="1" t="s">
        <v>18</v>
      </c>
      <c r="J25" s="1" t="s">
        <v>14</v>
      </c>
      <c r="K25" s="1"/>
      <c r="L25" s="1">
        <v>3993.2116250169402</v>
      </c>
      <c r="M25" s="8">
        <f t="shared" si="0"/>
        <v>13481.772896157963</v>
      </c>
      <c r="N25" s="13">
        <v>14000</v>
      </c>
      <c r="P25" s="1">
        <v>141</v>
      </c>
      <c r="Q25" s="2">
        <v>8000</v>
      </c>
      <c r="R25" s="1" t="s">
        <v>9</v>
      </c>
      <c r="S25" s="1" t="s">
        <v>16</v>
      </c>
      <c r="T25" s="1"/>
      <c r="U25" s="6">
        <v>2002.6968600011</v>
      </c>
      <c r="V25" s="8">
        <f t="shared" si="1"/>
        <v>6671.0275761797648</v>
      </c>
      <c r="W25" s="13">
        <v>8000</v>
      </c>
      <c r="Y25" s="1">
        <v>251</v>
      </c>
      <c r="Z25" s="1"/>
      <c r="AA25" s="1" t="s">
        <v>11</v>
      </c>
      <c r="AB25" s="1" t="s">
        <v>16</v>
      </c>
      <c r="AC25" s="1" t="s">
        <v>22</v>
      </c>
      <c r="AD25" s="1">
        <v>81.663275565313398</v>
      </c>
      <c r="AE25" s="18">
        <f t="shared" si="4"/>
        <v>98.019063674276339</v>
      </c>
      <c r="AF25" s="13">
        <v>98.02</v>
      </c>
      <c r="AH25" s="1">
        <v>157</v>
      </c>
      <c r="AI25" s="1"/>
      <c r="AJ25" s="1" t="s">
        <v>19</v>
      </c>
      <c r="AK25" s="1" t="s">
        <v>10</v>
      </c>
      <c r="AL25" s="1" t="s">
        <v>13</v>
      </c>
      <c r="AM25" s="1">
        <v>2566.0030104662101</v>
      </c>
      <c r="AN25" s="18">
        <f t="shared" si="3"/>
        <v>8598.4359006111845</v>
      </c>
      <c r="AO25" s="13">
        <v>8598.44</v>
      </c>
    </row>
    <row r="26" spans="7:41" ht="30" x14ac:dyDescent="0.25">
      <c r="G26" s="1">
        <v>57</v>
      </c>
      <c r="H26" s="1"/>
      <c r="I26" s="1" t="s">
        <v>18</v>
      </c>
      <c r="J26" s="1" t="s">
        <v>10</v>
      </c>
      <c r="K26" s="1"/>
      <c r="L26" s="1">
        <v>125.14961952836801</v>
      </c>
      <c r="M26" s="8">
        <f t="shared" si="0"/>
        <v>246.811938178264</v>
      </c>
      <c r="N26" s="13">
        <v>246.81</v>
      </c>
      <c r="P26" s="1">
        <v>142</v>
      </c>
      <c r="Q26" s="22">
        <v>6768</v>
      </c>
      <c r="R26" s="1" t="s">
        <v>9</v>
      </c>
      <c r="S26" s="1" t="s">
        <v>10</v>
      </c>
      <c r="T26" s="1"/>
      <c r="U26" s="6">
        <v>2850.6931396895802</v>
      </c>
      <c r="V26" s="8">
        <f t="shared" si="1"/>
        <v>9572.5316467618686</v>
      </c>
      <c r="W26" s="13">
        <v>9572.5300000000007</v>
      </c>
      <c r="Y26" s="1">
        <v>252</v>
      </c>
      <c r="Z26" s="1"/>
      <c r="AA26" s="1" t="s">
        <v>11</v>
      </c>
      <c r="AB26" s="1" t="s">
        <v>14</v>
      </c>
      <c r="AC26" s="1" t="s">
        <v>15</v>
      </c>
      <c r="AD26" s="1">
        <v>70.902600193782604</v>
      </c>
      <c r="AE26" s="18">
        <f t="shared" si="4"/>
        <v>61.20033682304657</v>
      </c>
      <c r="AF26" s="13">
        <v>70.900000000000006</v>
      </c>
      <c r="AH26" s="1">
        <v>158</v>
      </c>
      <c r="AI26" s="2">
        <v>2500</v>
      </c>
      <c r="AJ26" s="1" t="s">
        <v>19</v>
      </c>
      <c r="AK26" s="1" t="s">
        <v>14</v>
      </c>
      <c r="AL26" s="1" t="s">
        <v>23</v>
      </c>
      <c r="AM26" s="1">
        <v>757.72599625372095</v>
      </c>
      <c r="AN26" s="18">
        <f t="shared" si="3"/>
        <v>2411.2352687817315</v>
      </c>
      <c r="AO26" s="13">
        <v>2500</v>
      </c>
    </row>
    <row r="27" spans="7:41" ht="30" x14ac:dyDescent="0.25">
      <c r="G27" s="1">
        <v>58</v>
      </c>
      <c r="H27" s="22">
        <v>3500</v>
      </c>
      <c r="I27" s="1" t="s">
        <v>18</v>
      </c>
      <c r="J27" s="1" t="s">
        <v>12</v>
      </c>
      <c r="K27" s="1"/>
      <c r="L27" s="1">
        <v>1684.61879716617</v>
      </c>
      <c r="M27" s="8">
        <f t="shared" si="0"/>
        <v>5582.691676383768</v>
      </c>
      <c r="N27" s="13">
        <v>5582.69</v>
      </c>
      <c r="P27" s="1">
        <v>143</v>
      </c>
      <c r="Q27" s="22">
        <v>3500</v>
      </c>
      <c r="R27" s="1" t="s">
        <v>9</v>
      </c>
      <c r="S27" s="1" t="s">
        <v>16</v>
      </c>
      <c r="T27" s="1"/>
      <c r="U27" s="6">
        <v>3086.3204116555798</v>
      </c>
      <c r="V27" s="8">
        <f t="shared" si="1"/>
        <v>10378.753920520732</v>
      </c>
      <c r="W27" s="13">
        <v>10378.75</v>
      </c>
      <c r="Y27" s="1">
        <v>253</v>
      </c>
      <c r="Z27" s="1">
        <v>800</v>
      </c>
      <c r="AA27" s="1" t="s">
        <v>11</v>
      </c>
      <c r="AB27" s="1" t="s">
        <v>14</v>
      </c>
      <c r="AC27" s="1" t="s">
        <v>24</v>
      </c>
      <c r="AD27" s="1">
        <v>313.49209871705</v>
      </c>
      <c r="AE27" s="18">
        <f t="shared" si="4"/>
        <v>891.24456497025847</v>
      </c>
      <c r="AF27" s="13">
        <v>800</v>
      </c>
      <c r="AH27" s="1">
        <v>159</v>
      </c>
      <c r="AI27" s="2">
        <v>1410</v>
      </c>
      <c r="AJ27" s="1" t="s">
        <v>19</v>
      </c>
      <c r="AK27" s="1" t="s">
        <v>12</v>
      </c>
      <c r="AL27" s="1" t="s">
        <v>20</v>
      </c>
      <c r="AM27" s="1">
        <v>1191.06411621747</v>
      </c>
      <c r="AN27" s="18">
        <f t="shared" si="3"/>
        <v>3893.9449800496955</v>
      </c>
      <c r="AO27" s="13">
        <v>1410</v>
      </c>
    </row>
    <row r="28" spans="7:41" ht="30" x14ac:dyDescent="0.25">
      <c r="G28" s="1">
        <v>60</v>
      </c>
      <c r="H28" s="1"/>
      <c r="I28" s="1" t="s">
        <v>18</v>
      </c>
      <c r="J28" s="1" t="s">
        <v>12</v>
      </c>
      <c r="K28" s="1"/>
      <c r="L28" s="1">
        <v>288.83753996244297</v>
      </c>
      <c r="M28" s="8">
        <f t="shared" si="0"/>
        <v>806.88652673549495</v>
      </c>
      <c r="N28" s="13">
        <v>806.89</v>
      </c>
      <c r="P28" s="1">
        <v>144</v>
      </c>
      <c r="Q28" s="22">
        <v>2600</v>
      </c>
      <c r="R28" s="1" t="s">
        <v>9</v>
      </c>
      <c r="S28" s="1" t="s">
        <v>16</v>
      </c>
      <c r="T28" s="1"/>
      <c r="U28" s="6">
        <v>1405.8061937340999</v>
      </c>
      <c r="V28" s="8">
        <f t="shared" si="1"/>
        <v>4628.7064724805969</v>
      </c>
      <c r="W28" s="13">
        <v>4628.71</v>
      </c>
      <c r="Y28" s="1">
        <v>254</v>
      </c>
      <c r="Z28" s="1"/>
      <c r="AA28" s="1" t="s">
        <v>11</v>
      </c>
      <c r="AB28" s="1" t="s">
        <v>10</v>
      </c>
      <c r="AC28" s="1" t="s">
        <v>33</v>
      </c>
      <c r="AD28" s="1">
        <v>2588.9041664464798</v>
      </c>
      <c r="AE28" s="18">
        <f t="shared" si="4"/>
        <v>8676.7944959132765</v>
      </c>
      <c r="AF28" s="13">
        <v>8676.7900000000009</v>
      </c>
      <c r="AH28" s="1">
        <v>160</v>
      </c>
      <c r="AI28" s="1"/>
      <c r="AJ28" s="1" t="s">
        <v>19</v>
      </c>
      <c r="AK28" s="1" t="s">
        <v>14</v>
      </c>
      <c r="AL28" s="1" t="s">
        <v>24</v>
      </c>
      <c r="AM28" s="1">
        <v>801.04370615842504</v>
      </c>
      <c r="AN28" s="18">
        <f t="shared" si="3"/>
        <v>2559.4511449916672</v>
      </c>
      <c r="AO28" s="13">
        <v>2559.4499999999998</v>
      </c>
    </row>
    <row r="29" spans="7:41" ht="30" x14ac:dyDescent="0.25">
      <c r="G29" s="1">
        <v>61</v>
      </c>
      <c r="H29" s="2">
        <v>10000</v>
      </c>
      <c r="I29" s="1" t="s">
        <v>18</v>
      </c>
      <c r="J29" s="1" t="s">
        <v>16</v>
      </c>
      <c r="K29" s="1"/>
      <c r="L29" s="1">
        <v>1007.17848833862</v>
      </c>
      <c r="M29" s="8">
        <f t="shared" si="0"/>
        <v>3264.7619156994224</v>
      </c>
      <c r="N29" s="13">
        <v>10000</v>
      </c>
      <c r="P29" s="1">
        <v>145</v>
      </c>
      <c r="Q29" s="2">
        <v>1500</v>
      </c>
      <c r="R29" s="1" t="s">
        <v>9</v>
      </c>
      <c r="S29" s="1" t="s">
        <v>16</v>
      </c>
      <c r="T29" s="1"/>
      <c r="U29" s="6">
        <v>1101.04798172302</v>
      </c>
      <c r="V29" s="8">
        <f t="shared" si="1"/>
        <v>3585.9457742634854</v>
      </c>
      <c r="W29" s="13">
        <v>1500</v>
      </c>
      <c r="Y29" s="1">
        <v>255</v>
      </c>
      <c r="Z29" s="2">
        <v>20000</v>
      </c>
      <c r="AA29" s="1" t="s">
        <v>11</v>
      </c>
      <c r="AB29" s="1" t="s">
        <v>10</v>
      </c>
      <c r="AC29" s="1" t="s">
        <v>31</v>
      </c>
      <c r="AD29" s="1">
        <v>5798.7544342019801</v>
      </c>
      <c r="AE29" s="18">
        <f t="shared" si="4"/>
        <v>19659.618172065493</v>
      </c>
      <c r="AF29" s="13">
        <v>20000</v>
      </c>
      <c r="AH29" s="1">
        <v>161</v>
      </c>
      <c r="AI29" s="1"/>
      <c r="AJ29" s="1" t="s">
        <v>19</v>
      </c>
      <c r="AK29" s="1" t="s">
        <v>12</v>
      </c>
      <c r="AL29" s="1" t="s">
        <v>22</v>
      </c>
      <c r="AM29" s="1">
        <v>533.196578845766</v>
      </c>
      <c r="AN29" s="18">
        <f t="shared" si="3"/>
        <v>1642.985414178673</v>
      </c>
      <c r="AO29" s="13">
        <v>1642.99</v>
      </c>
    </row>
    <row r="30" spans="7:41" ht="30" x14ac:dyDescent="0.25">
      <c r="G30" s="1">
        <v>62</v>
      </c>
      <c r="H30" s="2">
        <v>12000</v>
      </c>
      <c r="I30" s="1" t="s">
        <v>18</v>
      </c>
      <c r="J30" s="1" t="s">
        <v>17</v>
      </c>
      <c r="K30" s="1"/>
      <c r="L30" s="1">
        <v>3057.3930562975802</v>
      </c>
      <c r="M30" s="8">
        <f t="shared" si="0"/>
        <v>10279.776081427801</v>
      </c>
      <c r="N30" s="13">
        <v>12000</v>
      </c>
      <c r="P30" s="1">
        <v>146</v>
      </c>
      <c r="Q30" s="22">
        <v>3360</v>
      </c>
      <c r="R30" s="1" t="s">
        <v>9</v>
      </c>
      <c r="S30" s="1" t="s">
        <v>16</v>
      </c>
      <c r="T30" s="1"/>
      <c r="U30" s="6">
        <v>3576.1585745378602</v>
      </c>
      <c r="V30" s="8">
        <f t="shared" si="1"/>
        <v>12054.784178638743</v>
      </c>
      <c r="W30" s="13">
        <v>12054.78</v>
      </c>
      <c r="Y30" s="1">
        <v>256</v>
      </c>
      <c r="Z30" s="1"/>
      <c r="AA30" s="1" t="s">
        <v>11</v>
      </c>
      <c r="AB30" s="1" t="s">
        <v>14</v>
      </c>
      <c r="AC30" s="1" t="s">
        <v>23</v>
      </c>
      <c r="AD30" s="1">
        <v>154.560477742194</v>
      </c>
      <c r="AE30" s="18">
        <f t="shared" si="4"/>
        <v>347.44413064269099</v>
      </c>
      <c r="AF30" s="13">
        <v>347.44</v>
      </c>
      <c r="AH30" s="1">
        <v>162</v>
      </c>
      <c r="AI30" s="22">
        <v>1350</v>
      </c>
      <c r="AJ30" s="1" t="s">
        <v>19</v>
      </c>
      <c r="AK30" s="1" t="s">
        <v>10</v>
      </c>
      <c r="AL30" s="1" t="s">
        <v>23</v>
      </c>
      <c r="AM30" s="1">
        <v>1214.8311670539299</v>
      </c>
      <c r="AN30" s="18">
        <f t="shared" si="3"/>
        <v>3975.2663211917265</v>
      </c>
      <c r="AO30" s="13">
        <v>3975.27</v>
      </c>
    </row>
    <row r="31" spans="7:41" ht="30" x14ac:dyDescent="0.25">
      <c r="G31" s="1">
        <v>64</v>
      </c>
      <c r="H31" s="1"/>
      <c r="I31" s="1" t="s">
        <v>18</v>
      </c>
      <c r="J31" s="1" t="s">
        <v>12</v>
      </c>
      <c r="K31" s="1"/>
      <c r="L31" s="1">
        <v>540.00304706801205</v>
      </c>
      <c r="M31" s="8">
        <f t="shared" si="0"/>
        <v>1666.2744258479102</v>
      </c>
      <c r="N31" s="13">
        <v>1666.27</v>
      </c>
      <c r="P31" s="1">
        <v>148</v>
      </c>
      <c r="Q31" s="2">
        <v>31000</v>
      </c>
      <c r="R31" s="1" t="s">
        <v>9</v>
      </c>
      <c r="S31" s="1" t="s">
        <v>7</v>
      </c>
      <c r="T31" s="1"/>
      <c r="U31" s="6">
        <v>9702.7901081508899</v>
      </c>
      <c r="V31" s="8">
        <f t="shared" si="1"/>
        <v>33017.666634049085</v>
      </c>
      <c r="W31" s="13">
        <v>31000</v>
      </c>
      <c r="Y31" s="1">
        <v>295</v>
      </c>
      <c r="Z31" s="1"/>
      <c r="AA31" s="1" t="s">
        <v>11</v>
      </c>
      <c r="AB31" s="1" t="s">
        <v>10</v>
      </c>
      <c r="AC31" s="1" t="s">
        <v>21</v>
      </c>
      <c r="AD31" s="1">
        <v>2804.3894690085799</v>
      </c>
      <c r="AE31" s="18">
        <f t="shared" si="4"/>
        <v>9414.0990071597571</v>
      </c>
      <c r="AF31" s="13">
        <v>9414.1</v>
      </c>
      <c r="AH31" s="1">
        <v>163</v>
      </c>
      <c r="AI31" s="1"/>
      <c r="AJ31" s="1" t="s">
        <v>19</v>
      </c>
      <c r="AK31" s="1" t="s">
        <v>16</v>
      </c>
      <c r="AL31" s="1" t="s">
        <v>31</v>
      </c>
      <c r="AM31" s="1">
        <v>1679.47060117148</v>
      </c>
      <c r="AN31" s="18">
        <f t="shared" si="3"/>
        <v>5565.0766089683366</v>
      </c>
      <c r="AO31" s="13">
        <v>5565.07</v>
      </c>
    </row>
    <row r="32" spans="7:41" ht="30" x14ac:dyDescent="0.25">
      <c r="G32" s="1">
        <v>65</v>
      </c>
      <c r="H32" s="21">
        <v>150</v>
      </c>
      <c r="I32" s="1" t="s">
        <v>18</v>
      </c>
      <c r="J32" s="1" t="s">
        <v>10</v>
      </c>
      <c r="K32" s="1"/>
      <c r="L32" s="1">
        <v>465.113232695504</v>
      </c>
      <c r="M32" s="8">
        <f t="shared" si="0"/>
        <v>1410.0314369909365</v>
      </c>
      <c r="N32" s="13">
        <v>1410.03</v>
      </c>
      <c r="P32" s="1">
        <v>197</v>
      </c>
      <c r="Q32" s="1"/>
      <c r="R32" s="1" t="s">
        <v>9</v>
      </c>
      <c r="S32" s="1" t="s">
        <v>10</v>
      </c>
      <c r="T32" s="1"/>
      <c r="U32" s="6">
        <v>911.015178460622</v>
      </c>
      <c r="V32" s="8">
        <f t="shared" si="1"/>
        <v>2935.7295346208643</v>
      </c>
      <c r="W32" s="13">
        <v>2935.73</v>
      </c>
      <c r="Y32" s="1">
        <v>296</v>
      </c>
      <c r="Z32" s="1"/>
      <c r="AA32" s="1" t="s">
        <v>11</v>
      </c>
      <c r="AB32" s="1" t="s">
        <v>17</v>
      </c>
      <c r="AC32" s="1" t="s">
        <v>29</v>
      </c>
      <c r="AD32" s="1">
        <v>1263.2451660976701</v>
      </c>
      <c r="AE32" s="18">
        <f t="shared" si="4"/>
        <v>4140.9196603197888</v>
      </c>
      <c r="AF32" s="13">
        <v>4140.92</v>
      </c>
      <c r="AH32" s="1">
        <v>164</v>
      </c>
      <c r="AI32" s="21">
        <v>120</v>
      </c>
      <c r="AJ32" s="1" t="s">
        <v>19</v>
      </c>
      <c r="AK32" s="1" t="s">
        <v>12</v>
      </c>
      <c r="AL32" s="1" t="s">
        <v>23</v>
      </c>
      <c r="AM32" s="1">
        <v>409.29281748301997</v>
      </c>
      <c r="AN32" s="18">
        <f t="shared" si="3"/>
        <v>1219.0363042999011</v>
      </c>
      <c r="AO32" s="13">
        <v>1219.04</v>
      </c>
    </row>
    <row r="33" spans="7:41" ht="30" x14ac:dyDescent="0.25">
      <c r="G33" s="1">
        <v>66</v>
      </c>
      <c r="H33" s="1"/>
      <c r="I33" s="1" t="s">
        <v>18</v>
      </c>
      <c r="J33" s="1" t="s">
        <v>12</v>
      </c>
      <c r="K33" s="1"/>
      <c r="L33" s="1">
        <v>779.849201643784</v>
      </c>
      <c r="M33" s="8">
        <f t="shared" si="0"/>
        <v>2486.9320283443712</v>
      </c>
      <c r="N33" s="13">
        <v>2486.9299999999998</v>
      </c>
      <c r="P33" s="1">
        <v>198</v>
      </c>
      <c r="Q33" s="2">
        <v>5000</v>
      </c>
      <c r="R33" s="1" t="s">
        <v>9</v>
      </c>
      <c r="S33" s="1" t="s">
        <v>16</v>
      </c>
      <c r="T33" s="1"/>
      <c r="U33" s="6">
        <v>1592.40907297381</v>
      </c>
      <c r="V33" s="8">
        <f t="shared" si="1"/>
        <v>5267.1868840871894</v>
      </c>
      <c r="W33" s="13">
        <v>5000</v>
      </c>
      <c r="Y33" s="1">
        <v>297</v>
      </c>
      <c r="Z33" s="2">
        <v>5000</v>
      </c>
      <c r="AA33" s="1" t="s">
        <v>11</v>
      </c>
      <c r="AB33" s="1" t="s">
        <v>14</v>
      </c>
      <c r="AC33" s="1" t="s">
        <v>20</v>
      </c>
      <c r="AD33" s="1">
        <v>1100.3870916235701</v>
      </c>
      <c r="AE33" s="18">
        <f t="shared" si="4"/>
        <v>3583.6844726992076</v>
      </c>
      <c r="AF33" s="13">
        <v>5000</v>
      </c>
      <c r="AH33" s="1">
        <v>165</v>
      </c>
      <c r="AI33" s="2">
        <v>1400</v>
      </c>
      <c r="AJ33" s="1" t="s">
        <v>19</v>
      </c>
      <c r="AK33" s="1" t="s">
        <v>14</v>
      </c>
      <c r="AL33" s="1" t="s">
        <v>29</v>
      </c>
      <c r="AM33" s="1">
        <v>491.15451910077002</v>
      </c>
      <c r="AN33" s="18">
        <f t="shared" si="3"/>
        <v>1499.1343025551946</v>
      </c>
      <c r="AO33" s="13">
        <v>1400</v>
      </c>
    </row>
    <row r="34" spans="7:41" ht="30" x14ac:dyDescent="0.25">
      <c r="G34" s="1">
        <v>68</v>
      </c>
      <c r="H34" s="1"/>
      <c r="I34" s="1" t="s">
        <v>18</v>
      </c>
      <c r="J34" s="1" t="s">
        <v>10</v>
      </c>
      <c r="K34" s="1"/>
      <c r="L34" s="1">
        <v>209.03399570206099</v>
      </c>
      <c r="M34" s="8">
        <f t="shared" si="0"/>
        <v>533.83071969417199</v>
      </c>
      <c r="N34" s="13">
        <v>533.83000000000004</v>
      </c>
      <c r="P34" s="1">
        <v>199</v>
      </c>
      <c r="Q34" s="1"/>
      <c r="R34" s="1" t="s">
        <v>9</v>
      </c>
      <c r="S34" s="1" t="s">
        <v>16</v>
      </c>
      <c r="T34" s="1"/>
      <c r="U34" s="6">
        <v>2822.8494637815102</v>
      </c>
      <c r="V34" s="8">
        <f t="shared" si="1"/>
        <v>9477.2617252748169</v>
      </c>
      <c r="W34" s="13">
        <v>9477.26</v>
      </c>
      <c r="Y34" s="1">
        <v>298</v>
      </c>
      <c r="Z34" s="2">
        <v>3312</v>
      </c>
      <c r="AA34" s="1" t="s">
        <v>11</v>
      </c>
      <c r="AB34" s="1" t="s">
        <v>16</v>
      </c>
      <c r="AC34" s="1" t="s">
        <v>13</v>
      </c>
      <c r="AD34" s="1">
        <v>4709.4663805678301</v>
      </c>
      <c r="AE34" s="18">
        <f t="shared" si="4"/>
        <v>15932.510167750888</v>
      </c>
      <c r="AF34" s="13">
        <v>3312</v>
      </c>
      <c r="AH34" s="1">
        <v>166</v>
      </c>
      <c r="AI34" s="23">
        <v>18000</v>
      </c>
      <c r="AJ34" s="1" t="s">
        <v>19</v>
      </c>
      <c r="AK34" s="1" t="s">
        <v>14</v>
      </c>
      <c r="AL34" s="1" t="s">
        <v>24</v>
      </c>
      <c r="AM34" s="1">
        <v>1242.6375422421199</v>
      </c>
      <c r="AN34" s="18">
        <f t="shared" si="3"/>
        <v>4070.4086145356373</v>
      </c>
      <c r="AO34" s="13">
        <v>4070.41</v>
      </c>
    </row>
    <row r="35" spans="7:41" ht="30" x14ac:dyDescent="0.25">
      <c r="G35" s="1">
        <v>69</v>
      </c>
      <c r="H35" s="2">
        <v>12000</v>
      </c>
      <c r="I35" s="1" t="s">
        <v>18</v>
      </c>
      <c r="J35" s="1" t="s">
        <v>14</v>
      </c>
      <c r="K35" s="1"/>
      <c r="L35" s="1">
        <v>1752.2595629109901</v>
      </c>
      <c r="M35" s="8">
        <f t="shared" si="0"/>
        <v>5814.1313204562448</v>
      </c>
      <c r="N35" s="13">
        <v>12000</v>
      </c>
      <c r="P35" s="1">
        <v>200</v>
      </c>
      <c r="Q35" s="1"/>
      <c r="R35" s="1" t="s">
        <v>9</v>
      </c>
      <c r="S35" s="1" t="s">
        <v>10</v>
      </c>
      <c r="T35" s="1"/>
      <c r="U35" s="6">
        <v>140.88397433112101</v>
      </c>
      <c r="V35" s="8">
        <f t="shared" si="1"/>
        <v>300.64860657136364</v>
      </c>
      <c r="W35" s="13">
        <v>300.64999999999998</v>
      </c>
      <c r="Y35" s="1">
        <v>299</v>
      </c>
      <c r="Z35" s="1"/>
      <c r="AA35" s="1" t="s">
        <v>11</v>
      </c>
      <c r="AB35" s="1" t="s">
        <v>14</v>
      </c>
      <c r="AC35" s="1" t="s">
        <v>21</v>
      </c>
      <c r="AD35" s="1">
        <v>811.25203700502402</v>
      </c>
      <c r="AE35" s="18">
        <f t="shared" si="4"/>
        <v>2594.3799698163903</v>
      </c>
      <c r="AF35" s="13">
        <v>2594.38</v>
      </c>
      <c r="AH35" s="1">
        <v>167</v>
      </c>
      <c r="AI35" s="1"/>
      <c r="AJ35" s="1" t="s">
        <v>19</v>
      </c>
      <c r="AK35" s="1" t="s">
        <v>14</v>
      </c>
      <c r="AL35" s="1" t="s">
        <v>23</v>
      </c>
      <c r="AM35" s="1">
        <v>384.73386775593298</v>
      </c>
      <c r="AN35" s="18">
        <f t="shared" si="3"/>
        <v>1135.0054019137003</v>
      </c>
      <c r="AO35" s="13">
        <v>1135.01</v>
      </c>
    </row>
    <row r="36" spans="7:41" ht="30" x14ac:dyDescent="0.25">
      <c r="G36" s="1">
        <v>70</v>
      </c>
      <c r="H36" s="2">
        <v>3000</v>
      </c>
      <c r="I36" s="1" t="s">
        <v>18</v>
      </c>
      <c r="J36" s="1" t="s">
        <v>14</v>
      </c>
      <c r="K36" s="1" t="s">
        <v>20</v>
      </c>
      <c r="L36" s="1">
        <v>1366.72456010716</v>
      </c>
      <c r="M36" s="8">
        <f t="shared" si="0"/>
        <v>4494.9847548626594</v>
      </c>
      <c r="N36" s="13">
        <v>3000</v>
      </c>
      <c r="P36" s="1">
        <v>201</v>
      </c>
      <c r="Q36" s="2">
        <v>10000</v>
      </c>
      <c r="R36" s="1" t="s">
        <v>9</v>
      </c>
      <c r="S36" s="1" t="s">
        <v>16</v>
      </c>
      <c r="T36" s="1"/>
      <c r="U36" s="6">
        <v>2477.5168080870799</v>
      </c>
      <c r="V36" s="8">
        <f t="shared" si="1"/>
        <v>8295.6715105507537</v>
      </c>
      <c r="W36" s="13">
        <v>10000</v>
      </c>
      <c r="Y36" s="1">
        <v>300</v>
      </c>
      <c r="Z36" s="1"/>
      <c r="AA36" s="1" t="s">
        <v>11</v>
      </c>
      <c r="AB36" s="1" t="s">
        <v>16</v>
      </c>
      <c r="AC36" s="1" t="s">
        <v>13</v>
      </c>
      <c r="AD36" s="1">
        <v>2134.3060506478</v>
      </c>
      <c r="AE36" s="18">
        <f t="shared" si="4"/>
        <v>7121.3415828965135</v>
      </c>
      <c r="AF36" s="13">
        <v>7121.35</v>
      </c>
      <c r="AH36" s="1">
        <v>168</v>
      </c>
      <c r="AI36" s="1"/>
      <c r="AJ36" s="1" t="s">
        <v>19</v>
      </c>
      <c r="AK36" s="1" t="s">
        <v>10</v>
      </c>
      <c r="AL36" s="1" t="s">
        <v>31</v>
      </c>
      <c r="AM36" s="1">
        <v>1601.49829120552</v>
      </c>
      <c r="AN36" s="18">
        <f t="shared" si="3"/>
        <v>5298.2865531888083</v>
      </c>
      <c r="AO36" s="13">
        <v>5298.29</v>
      </c>
    </row>
    <row r="37" spans="7:41" ht="30" x14ac:dyDescent="0.25">
      <c r="G37" s="1">
        <v>71</v>
      </c>
      <c r="H37" s="1"/>
      <c r="I37" s="1" t="s">
        <v>18</v>
      </c>
      <c r="J37" s="1" t="s">
        <v>12</v>
      </c>
      <c r="K37" s="1"/>
      <c r="L37" s="1">
        <v>53.315614117659102</v>
      </c>
      <c r="M37" s="8">
        <f t="shared" si="0"/>
        <v>1.0247052649824013</v>
      </c>
      <c r="N37" s="13">
        <v>53.32</v>
      </c>
      <c r="P37" s="1">
        <v>202</v>
      </c>
      <c r="Q37" s="1"/>
      <c r="R37" s="1" t="s">
        <v>9</v>
      </c>
      <c r="S37" s="1" t="s">
        <v>12</v>
      </c>
      <c r="T37" s="1"/>
      <c r="U37" s="6">
        <v>232.12187376206501</v>
      </c>
      <c r="V37" s="8">
        <f t="shared" si="1"/>
        <v>612.82820326428168</v>
      </c>
      <c r="W37" s="13">
        <v>612.83000000000004</v>
      </c>
      <c r="Y37" s="1">
        <v>301</v>
      </c>
      <c r="Z37" s="1"/>
      <c r="AA37" s="1" t="s">
        <v>11</v>
      </c>
      <c r="AB37" s="1" t="s">
        <v>14</v>
      </c>
      <c r="AC37" s="1" t="s">
        <v>13</v>
      </c>
      <c r="AD37" s="1">
        <v>131.22153711660101</v>
      </c>
      <c r="AE37" s="18">
        <f t="shared" ref="AE37:AE68" si="7">3.4216*AD37-181.4</f>
        <v>267.58761139816204</v>
      </c>
      <c r="AF37" s="13">
        <v>267.58999999999997</v>
      </c>
      <c r="AH37" s="1">
        <v>169</v>
      </c>
      <c r="AI37" s="1"/>
      <c r="AJ37" s="1" t="s">
        <v>19</v>
      </c>
      <c r="AK37" s="1" t="s">
        <v>16</v>
      </c>
      <c r="AL37" s="1" t="s">
        <v>21</v>
      </c>
      <c r="AM37" s="1">
        <v>151.019714064</v>
      </c>
      <c r="AN37" s="18">
        <f t="shared" si="3"/>
        <v>335.32905364138242</v>
      </c>
      <c r="AO37" s="13">
        <v>335.33</v>
      </c>
    </row>
    <row r="38" spans="7:41" ht="30" x14ac:dyDescent="0.25">
      <c r="G38" s="1">
        <v>72</v>
      </c>
      <c r="H38" s="2">
        <v>13000</v>
      </c>
      <c r="I38" s="1" t="s">
        <v>18</v>
      </c>
      <c r="J38" s="1" t="s">
        <v>12</v>
      </c>
      <c r="K38" s="1"/>
      <c r="L38" s="1">
        <v>3177.6237997394301</v>
      </c>
      <c r="M38" s="8">
        <f t="shared" si="0"/>
        <v>10691.157593188434</v>
      </c>
      <c r="N38" s="13">
        <v>13000</v>
      </c>
      <c r="P38" s="1">
        <v>203</v>
      </c>
      <c r="Q38" s="1"/>
      <c r="R38" s="1" t="s">
        <v>9</v>
      </c>
      <c r="S38" s="1" t="s">
        <v>10</v>
      </c>
      <c r="T38" s="1"/>
      <c r="U38" s="6">
        <v>212.05693388472699</v>
      </c>
      <c r="V38" s="8">
        <f t="shared" si="1"/>
        <v>544.17400497998187</v>
      </c>
      <c r="W38" s="13">
        <v>544.16999999999996</v>
      </c>
      <c r="Y38" s="1">
        <v>302</v>
      </c>
      <c r="Z38" s="1"/>
      <c r="AA38" s="1" t="s">
        <v>11</v>
      </c>
      <c r="AB38" s="1" t="s">
        <v>16</v>
      </c>
      <c r="AC38" s="1" t="s">
        <v>13</v>
      </c>
      <c r="AD38" s="1">
        <v>1254.0785803388901</v>
      </c>
      <c r="AE38" s="18">
        <f t="shared" si="7"/>
        <v>4109.5552704875472</v>
      </c>
      <c r="AF38" s="13">
        <v>4109.5600000000004</v>
      </c>
      <c r="AH38" s="1">
        <v>170</v>
      </c>
      <c r="AI38" s="2">
        <v>2500</v>
      </c>
      <c r="AJ38" s="1" t="s">
        <v>19</v>
      </c>
      <c r="AK38" s="1" t="s">
        <v>17</v>
      </c>
      <c r="AL38" s="1" t="s">
        <v>22</v>
      </c>
      <c r="AM38" s="1">
        <v>746.56118609411305</v>
      </c>
      <c r="AN38" s="18">
        <f t="shared" si="3"/>
        <v>2373.0337543396172</v>
      </c>
      <c r="AO38" s="13">
        <v>2500</v>
      </c>
    </row>
    <row r="39" spans="7:41" ht="30" x14ac:dyDescent="0.25">
      <c r="G39" s="1">
        <v>74</v>
      </c>
      <c r="H39" s="1"/>
      <c r="I39" s="1" t="s">
        <v>18</v>
      </c>
      <c r="J39" s="1" t="s">
        <v>17</v>
      </c>
      <c r="K39" s="1"/>
      <c r="L39" s="1">
        <v>304.78988466254202</v>
      </c>
      <c r="M39" s="8">
        <f t="shared" si="0"/>
        <v>861.46906936135395</v>
      </c>
      <c r="N39" s="13">
        <v>861.47</v>
      </c>
      <c r="P39" s="1">
        <v>204</v>
      </c>
      <c r="Q39" s="21">
        <v>150</v>
      </c>
      <c r="R39" s="1" t="s">
        <v>9</v>
      </c>
      <c r="S39" s="1" t="s">
        <v>12</v>
      </c>
      <c r="T39" s="1"/>
      <c r="U39" s="6">
        <v>411.92368729168498</v>
      </c>
      <c r="V39" s="8">
        <f t="shared" si="1"/>
        <v>1228.0380884372294</v>
      </c>
      <c r="W39" s="13">
        <v>1228.04</v>
      </c>
      <c r="Y39" s="1">
        <v>303</v>
      </c>
      <c r="Z39" s="1"/>
      <c r="AA39" s="1" t="s">
        <v>11</v>
      </c>
      <c r="AB39" s="1" t="s">
        <v>14</v>
      </c>
      <c r="AC39" s="1" t="s">
        <v>13</v>
      </c>
      <c r="AD39" s="1">
        <v>367.51685768911699</v>
      </c>
      <c r="AE39" s="18">
        <f t="shared" si="7"/>
        <v>1076.0956802690828</v>
      </c>
      <c r="AF39" s="13">
        <v>1076.0899999999999</v>
      </c>
      <c r="AH39" s="1">
        <v>171</v>
      </c>
      <c r="AI39" s="21">
        <v>500</v>
      </c>
      <c r="AJ39" s="1" t="s">
        <v>19</v>
      </c>
      <c r="AK39" s="1" t="s">
        <v>10</v>
      </c>
      <c r="AL39" s="1" t="s">
        <v>24</v>
      </c>
      <c r="AM39" s="1">
        <v>411.52072919758598</v>
      </c>
      <c r="AN39" s="18">
        <f t="shared" si="3"/>
        <v>1226.6593270224603</v>
      </c>
      <c r="AO39" s="13">
        <v>1226.6600000000001</v>
      </c>
    </row>
    <row r="40" spans="7:41" ht="30" x14ac:dyDescent="0.25">
      <c r="G40" s="1">
        <v>76</v>
      </c>
      <c r="H40" s="1"/>
      <c r="I40" s="1" t="s">
        <v>18</v>
      </c>
      <c r="J40" s="1" t="s">
        <v>17</v>
      </c>
      <c r="K40" s="1"/>
      <c r="L40" s="1">
        <v>117.700243602162</v>
      </c>
      <c r="M40" s="8">
        <f t="shared" si="0"/>
        <v>221.32315350915755</v>
      </c>
      <c r="N40" s="13">
        <v>221.32</v>
      </c>
      <c r="P40" s="1">
        <v>205</v>
      </c>
      <c r="Q40" s="1"/>
      <c r="R40" s="1" t="s">
        <v>9</v>
      </c>
      <c r="S40" s="1" t="s">
        <v>16</v>
      </c>
      <c r="T40" s="1"/>
      <c r="U40" s="6">
        <v>451.15599018814601</v>
      </c>
      <c r="V40" s="8">
        <f t="shared" si="1"/>
        <v>1362.2753360277604</v>
      </c>
      <c r="W40" s="13">
        <v>1362.28</v>
      </c>
      <c r="Y40" s="1">
        <v>304</v>
      </c>
      <c r="Z40" s="21">
        <v>270</v>
      </c>
      <c r="AA40" s="1" t="s">
        <v>11</v>
      </c>
      <c r="AB40" s="1" t="s">
        <v>16</v>
      </c>
      <c r="AC40" s="1" t="s">
        <v>23</v>
      </c>
      <c r="AD40" s="1">
        <v>946.59300532864199</v>
      </c>
      <c r="AE40" s="18">
        <f t="shared" si="7"/>
        <v>3057.4626270324816</v>
      </c>
      <c r="AF40" s="13">
        <v>3057.46</v>
      </c>
      <c r="AH40" s="1">
        <v>172</v>
      </c>
      <c r="AI40" s="1"/>
      <c r="AJ40" s="1" t="s">
        <v>19</v>
      </c>
      <c r="AK40" s="1" t="s">
        <v>10</v>
      </c>
      <c r="AL40" s="1" t="s">
        <v>31</v>
      </c>
      <c r="AM40" s="1">
        <v>573.32128936249899</v>
      </c>
      <c r="AN40" s="18">
        <f t="shared" si="3"/>
        <v>1780.2761236827266</v>
      </c>
      <c r="AO40" s="13">
        <v>1780.28</v>
      </c>
    </row>
    <row r="41" spans="7:41" ht="30" x14ac:dyDescent="0.25">
      <c r="G41" s="1">
        <v>83</v>
      </c>
      <c r="H41" s="1"/>
      <c r="I41" s="1" t="s">
        <v>18</v>
      </c>
      <c r="J41" s="1" t="s">
        <v>17</v>
      </c>
      <c r="K41" s="1"/>
      <c r="L41" s="1">
        <v>237.609433887797</v>
      </c>
      <c r="M41" s="8">
        <f t="shared" si="0"/>
        <v>631.6044389904863</v>
      </c>
      <c r="N41" s="13">
        <v>631.6</v>
      </c>
      <c r="P41" s="1">
        <v>206</v>
      </c>
      <c r="Q41" s="22">
        <v>1875</v>
      </c>
      <c r="R41" s="1" t="s">
        <v>9</v>
      </c>
      <c r="S41" s="1" t="s">
        <v>16</v>
      </c>
      <c r="T41" s="1"/>
      <c r="U41" s="6">
        <v>1641.59598147205</v>
      </c>
      <c r="V41" s="8">
        <f t="shared" si="1"/>
        <v>5435.4848102047672</v>
      </c>
      <c r="W41" s="13">
        <v>5435.48</v>
      </c>
      <c r="Y41" s="1">
        <v>305</v>
      </c>
      <c r="Z41" s="2">
        <v>4000</v>
      </c>
      <c r="AA41" s="1" t="s">
        <v>11</v>
      </c>
      <c r="AB41" s="1" t="s">
        <v>7</v>
      </c>
      <c r="AC41" s="1" t="s">
        <v>29</v>
      </c>
      <c r="AD41" s="1">
        <v>2847.5063680774902</v>
      </c>
      <c r="AE41" s="18">
        <f t="shared" si="7"/>
        <v>9561.6277890139409</v>
      </c>
      <c r="AF41" s="13">
        <v>4000</v>
      </c>
      <c r="AH41" s="1">
        <v>173</v>
      </c>
      <c r="AI41" s="1"/>
      <c r="AJ41" s="1" t="s">
        <v>19</v>
      </c>
      <c r="AK41" s="1" t="s">
        <v>14</v>
      </c>
      <c r="AL41" s="1" t="s">
        <v>22</v>
      </c>
      <c r="AM41" s="1">
        <v>465.953859857824</v>
      </c>
      <c r="AN41" s="18">
        <f t="shared" si="3"/>
        <v>1412.9077268895305</v>
      </c>
      <c r="AO41" s="13">
        <v>1412.91</v>
      </c>
    </row>
    <row r="42" spans="7:41" ht="30" x14ac:dyDescent="0.25">
      <c r="G42" s="1">
        <v>84</v>
      </c>
      <c r="H42" s="1"/>
      <c r="I42" s="1" t="s">
        <v>18</v>
      </c>
      <c r="J42" s="1" t="s">
        <v>16</v>
      </c>
      <c r="K42" s="1"/>
      <c r="L42" s="1">
        <v>5359.8485712678903</v>
      </c>
      <c r="M42" s="8">
        <f t="shared" si="0"/>
        <v>18157.857871450215</v>
      </c>
      <c r="N42" s="13">
        <v>18157.86</v>
      </c>
      <c r="P42" s="1">
        <v>207</v>
      </c>
      <c r="Q42" s="1"/>
      <c r="R42" s="1" t="s">
        <v>9</v>
      </c>
      <c r="S42" s="1" t="s">
        <v>16</v>
      </c>
      <c r="T42" s="1"/>
      <c r="U42" s="6">
        <v>696.60069815591396</v>
      </c>
      <c r="V42" s="8">
        <f t="shared" si="1"/>
        <v>2202.0889488102753</v>
      </c>
      <c r="W42" s="13">
        <v>2202.09</v>
      </c>
      <c r="Y42" s="1">
        <v>306</v>
      </c>
      <c r="Z42" s="2">
        <v>12600</v>
      </c>
      <c r="AA42" s="1" t="s">
        <v>11</v>
      </c>
      <c r="AB42" s="1" t="s">
        <v>16</v>
      </c>
      <c r="AC42" s="1" t="s">
        <v>13</v>
      </c>
      <c r="AD42" s="1">
        <v>4025.4664839104298</v>
      </c>
      <c r="AE42" s="18">
        <f t="shared" si="7"/>
        <v>13592.136121347929</v>
      </c>
      <c r="AF42" s="13">
        <v>12600</v>
      </c>
      <c r="AH42" s="1">
        <v>174</v>
      </c>
      <c r="AI42" s="21">
        <v>850</v>
      </c>
      <c r="AJ42" s="1" t="s">
        <v>19</v>
      </c>
      <c r="AK42" s="1" t="s">
        <v>12</v>
      </c>
      <c r="AL42" s="1" t="s">
        <v>23</v>
      </c>
      <c r="AM42" s="1">
        <v>602.08029429514602</v>
      </c>
      <c r="AN42" s="18">
        <f t="shared" si="3"/>
        <v>1878.6779349602716</v>
      </c>
      <c r="AO42" s="13">
        <v>1878.68</v>
      </c>
    </row>
    <row r="43" spans="7:41" ht="30" x14ac:dyDescent="0.25">
      <c r="G43" s="1">
        <v>86</v>
      </c>
      <c r="H43" s="1"/>
      <c r="I43" s="1" t="s">
        <v>18</v>
      </c>
      <c r="J43" s="1" t="s">
        <v>12</v>
      </c>
      <c r="K43" s="1"/>
      <c r="L43" s="10">
        <v>264.76198776297701</v>
      </c>
      <c r="M43" s="11">
        <f t="shared" si="0"/>
        <v>724.50961732980227</v>
      </c>
      <c r="N43" s="13">
        <v>724.51</v>
      </c>
      <c r="P43" s="1">
        <v>208</v>
      </c>
      <c r="Q43" s="1"/>
      <c r="R43" s="1" t="s">
        <v>9</v>
      </c>
      <c r="S43" s="1" t="s">
        <v>17</v>
      </c>
      <c r="T43" s="1"/>
      <c r="U43" s="6">
        <v>427.42540655355299</v>
      </c>
      <c r="V43" s="8">
        <f t="shared" si="1"/>
        <v>1281.0787710636369</v>
      </c>
      <c r="W43" s="13">
        <v>1281.08</v>
      </c>
      <c r="Y43" s="1">
        <v>307</v>
      </c>
      <c r="Z43" s="1"/>
      <c r="AA43" s="1" t="s">
        <v>11</v>
      </c>
      <c r="AB43" s="1" t="s">
        <v>7</v>
      </c>
      <c r="AC43" s="1" t="s">
        <v>31</v>
      </c>
      <c r="AD43" s="1">
        <v>5647.43593689505</v>
      </c>
      <c r="AE43" s="18">
        <f t="shared" si="7"/>
        <v>19141.866801680102</v>
      </c>
      <c r="AF43" s="13">
        <v>19141.87</v>
      </c>
      <c r="AH43" s="1">
        <v>176</v>
      </c>
      <c r="AI43" s="1"/>
      <c r="AJ43" s="1" t="s">
        <v>19</v>
      </c>
      <c r="AK43" s="1" t="s">
        <v>14</v>
      </c>
      <c r="AL43" s="1" t="s">
        <v>13</v>
      </c>
      <c r="AM43" s="1">
        <v>2473.2290205485201</v>
      </c>
      <c r="AN43" s="18">
        <f t="shared" si="3"/>
        <v>8281.0004167088173</v>
      </c>
      <c r="AO43" s="13">
        <v>8281</v>
      </c>
    </row>
    <row r="44" spans="7:41" ht="30" x14ac:dyDescent="0.25">
      <c r="L44" s="8">
        <f>SUM(L3:L43)</f>
        <v>59297.532314301345</v>
      </c>
      <c r="M44" s="8">
        <f t="shared" ref="M44:N44" si="8">SUM(M3:M43)</f>
        <v>195455.03656661353</v>
      </c>
      <c r="N44" s="13">
        <f t="shared" si="8"/>
        <v>217660.55000000005</v>
      </c>
      <c r="P44" s="1">
        <v>209</v>
      </c>
      <c r="Q44" s="1"/>
      <c r="R44" s="1" t="s">
        <v>9</v>
      </c>
      <c r="S44" s="1" t="s">
        <v>16</v>
      </c>
      <c r="T44" s="1"/>
      <c r="U44" s="6">
        <v>202.28939370088401</v>
      </c>
      <c r="V44" s="8">
        <f t="shared" si="1"/>
        <v>510.7533894869448</v>
      </c>
      <c r="W44" s="13">
        <v>510.76</v>
      </c>
      <c r="Y44" s="1">
        <v>308</v>
      </c>
      <c r="Z44" s="22">
        <v>1080</v>
      </c>
      <c r="AA44" s="1" t="s">
        <v>11</v>
      </c>
      <c r="AB44" s="1" t="s">
        <v>17</v>
      </c>
      <c r="AC44" s="1" t="s">
        <v>33</v>
      </c>
      <c r="AD44" s="1">
        <v>1118.34886819137</v>
      </c>
      <c r="AE44" s="18">
        <f t="shared" si="7"/>
        <v>3645.1424874035915</v>
      </c>
      <c r="AF44" s="13">
        <v>3645.14</v>
      </c>
      <c r="AH44" s="1">
        <v>184</v>
      </c>
      <c r="AI44" s="1"/>
      <c r="AJ44" s="1" t="s">
        <v>19</v>
      </c>
      <c r="AK44" s="1" t="s">
        <v>14</v>
      </c>
      <c r="AL44" s="1" t="s">
        <v>23</v>
      </c>
      <c r="AM44" s="1">
        <v>485.64850371600102</v>
      </c>
      <c r="AN44" s="18">
        <f t="shared" si="3"/>
        <v>1480.2949203146691</v>
      </c>
      <c r="AO44" s="13">
        <v>1480.29</v>
      </c>
    </row>
    <row r="45" spans="7:41" ht="30" x14ac:dyDescent="0.25">
      <c r="P45" s="1">
        <v>210</v>
      </c>
      <c r="Q45" s="1"/>
      <c r="R45" s="1" t="s">
        <v>9</v>
      </c>
      <c r="S45" s="1" t="s">
        <v>12</v>
      </c>
      <c r="T45" s="1"/>
      <c r="U45" s="6">
        <v>1814.2649232475801</v>
      </c>
      <c r="V45" s="8">
        <f t="shared" si="1"/>
        <v>6026.2888613839204</v>
      </c>
      <c r="W45" s="13">
        <v>6026.29</v>
      </c>
      <c r="Y45" s="1">
        <v>310</v>
      </c>
      <c r="Z45" s="1"/>
      <c r="AA45" s="1" t="s">
        <v>11</v>
      </c>
      <c r="AB45" s="1" t="s">
        <v>14</v>
      </c>
      <c r="AC45" s="1" t="s">
        <v>24</v>
      </c>
      <c r="AD45" s="1">
        <v>1949.38265804612</v>
      </c>
      <c r="AE45" s="18">
        <f t="shared" si="7"/>
        <v>6488.6077027706051</v>
      </c>
      <c r="AF45" s="13">
        <v>6488.61</v>
      </c>
      <c r="AH45" s="1">
        <v>185</v>
      </c>
      <c r="AI45" s="1"/>
      <c r="AJ45" s="1" t="s">
        <v>19</v>
      </c>
      <c r="AK45" s="1" t="s">
        <v>14</v>
      </c>
      <c r="AL45" s="1" t="s">
        <v>13</v>
      </c>
      <c r="AM45" s="1">
        <v>720.60470683840697</v>
      </c>
      <c r="AN45" s="18">
        <f t="shared" si="3"/>
        <v>2284.2210649182935</v>
      </c>
      <c r="AO45" s="13">
        <v>2284.2199999999998</v>
      </c>
    </row>
    <row r="46" spans="7:41" ht="30" x14ac:dyDescent="0.25">
      <c r="I46" s="7" t="s">
        <v>54</v>
      </c>
      <c r="J46" s="7" t="s">
        <v>97</v>
      </c>
      <c r="K46" s="8" t="s">
        <v>96</v>
      </c>
      <c r="L46" s="8" t="s">
        <v>98</v>
      </c>
      <c r="P46" s="1">
        <v>214</v>
      </c>
      <c r="Q46" s="2">
        <v>3600</v>
      </c>
      <c r="R46" s="1" t="s">
        <v>9</v>
      </c>
      <c r="S46" s="1" t="s">
        <v>16</v>
      </c>
      <c r="T46" s="1"/>
      <c r="U46" s="6">
        <v>775.94187111739996</v>
      </c>
      <c r="V46" s="8">
        <f t="shared" si="1"/>
        <v>2473.5627062152957</v>
      </c>
      <c r="W46" s="13">
        <v>3600</v>
      </c>
      <c r="Y46" s="1">
        <v>312</v>
      </c>
      <c r="Z46" s="22">
        <v>2160</v>
      </c>
      <c r="AA46" s="1" t="s">
        <v>11</v>
      </c>
      <c r="AB46" s="1" t="s">
        <v>12</v>
      </c>
      <c r="AC46" s="1" t="s">
        <v>13</v>
      </c>
      <c r="AD46" s="1">
        <v>287.57159028459898</v>
      </c>
      <c r="AE46" s="18">
        <f t="shared" si="7"/>
        <v>802.554953317784</v>
      </c>
      <c r="AF46" s="13">
        <v>802.55</v>
      </c>
      <c r="AH46" s="1">
        <v>186</v>
      </c>
      <c r="AI46" s="2">
        <v>3200</v>
      </c>
      <c r="AJ46" s="1" t="s">
        <v>19</v>
      </c>
      <c r="AK46" s="1" t="s">
        <v>16</v>
      </c>
      <c r="AL46" s="1" t="s">
        <v>22</v>
      </c>
      <c r="AM46" s="1">
        <v>1393.1034053348501</v>
      </c>
      <c r="AN46" s="18">
        <f t="shared" si="3"/>
        <v>4585.242611693724</v>
      </c>
      <c r="AO46" s="13">
        <v>3200</v>
      </c>
    </row>
    <row r="47" spans="7:41" ht="30" x14ac:dyDescent="0.25">
      <c r="H47" s="8" t="s">
        <v>17</v>
      </c>
      <c r="I47" s="8">
        <f>L4+L5+L9+L17+L30+L39+L40+L41</f>
        <v>6869.3957612327813</v>
      </c>
      <c r="J47" s="8">
        <f>I47/L44*100</f>
        <v>11.584623327699632</v>
      </c>
      <c r="K47" s="8">
        <f>N4+N5+N9+N17+N30+N39+N40+N41</f>
        <v>23185.43</v>
      </c>
      <c r="L47" s="8">
        <f>K47/N44*100</f>
        <v>10.652104848581883</v>
      </c>
      <c r="P47" s="1">
        <v>215</v>
      </c>
      <c r="Q47" s="2">
        <v>2500</v>
      </c>
      <c r="R47" s="1" t="s">
        <v>9</v>
      </c>
      <c r="S47" s="1" t="s">
        <v>12</v>
      </c>
      <c r="T47" s="1"/>
      <c r="U47" s="6">
        <v>1124.7761713719699</v>
      </c>
      <c r="V47" s="8">
        <f t="shared" si="1"/>
        <v>3667.1341479663324</v>
      </c>
      <c r="W47" s="13">
        <v>2500</v>
      </c>
      <c r="Y47" s="1">
        <v>313</v>
      </c>
      <c r="Z47" s="2">
        <v>6000</v>
      </c>
      <c r="AA47" s="1" t="s">
        <v>11</v>
      </c>
      <c r="AB47" s="1" t="s">
        <v>10</v>
      </c>
      <c r="AC47" s="1" t="s">
        <v>20</v>
      </c>
      <c r="AD47" s="1">
        <v>2224.5413987841598</v>
      </c>
      <c r="AE47" s="18">
        <f t="shared" si="7"/>
        <v>7430.0908500798823</v>
      </c>
      <c r="AF47" s="13">
        <v>6000</v>
      </c>
      <c r="AH47" s="1">
        <v>187</v>
      </c>
      <c r="AI47" s="2">
        <v>3000</v>
      </c>
      <c r="AJ47" s="1" t="s">
        <v>19</v>
      </c>
      <c r="AK47" s="1" t="s">
        <v>16</v>
      </c>
      <c r="AL47" s="1" t="s">
        <v>20</v>
      </c>
      <c r="AM47" s="1">
        <v>1800.14133050289</v>
      </c>
      <c r="AN47" s="18">
        <f t="shared" si="3"/>
        <v>5977.9635764486893</v>
      </c>
      <c r="AO47" s="13">
        <v>3000</v>
      </c>
    </row>
    <row r="48" spans="7:41" ht="30" x14ac:dyDescent="0.25">
      <c r="H48" s="8" t="s">
        <v>14</v>
      </c>
      <c r="I48" s="8">
        <f>L3+L12+L18+L19+L25+L35+L36</f>
        <v>13606.499357768727</v>
      </c>
      <c r="J48" s="8">
        <f>I48/L44*100</f>
        <v>22.946147717663319</v>
      </c>
      <c r="K48" s="8">
        <f>N3+N12+N18+N19+N35+N25+N36</f>
        <v>51724.380000000005</v>
      </c>
      <c r="L48" s="8">
        <f>K48/N44*100</f>
        <v>23.763782642284049</v>
      </c>
      <c r="P48" s="1">
        <v>216</v>
      </c>
      <c r="Q48" s="2">
        <v>15000</v>
      </c>
      <c r="R48" s="1" t="s">
        <v>9</v>
      </c>
      <c r="S48" s="1" t="s">
        <v>16</v>
      </c>
      <c r="T48" s="1"/>
      <c r="U48" s="6">
        <v>2100.37778330531</v>
      </c>
      <c r="V48" s="8">
        <f t="shared" si="1"/>
        <v>7005.2526233574499</v>
      </c>
      <c r="W48" s="13">
        <v>15000</v>
      </c>
      <c r="Y48" s="1">
        <v>314</v>
      </c>
      <c r="Z48" s="22">
        <v>3900</v>
      </c>
      <c r="AA48" s="1" t="s">
        <v>11</v>
      </c>
      <c r="AB48" s="1" t="s">
        <v>16</v>
      </c>
      <c r="AC48" s="1" t="s">
        <v>36</v>
      </c>
      <c r="AD48" s="1">
        <v>2098.1859081595699</v>
      </c>
      <c r="AE48" s="18">
        <f t="shared" si="7"/>
        <v>6997.7529033587853</v>
      </c>
      <c r="AF48" s="13">
        <v>6997.75</v>
      </c>
      <c r="AH48" s="1">
        <v>188</v>
      </c>
      <c r="AI48" s="1"/>
      <c r="AJ48" s="1" t="s">
        <v>19</v>
      </c>
      <c r="AK48" s="1" t="s">
        <v>17</v>
      </c>
      <c r="AL48" s="1" t="s">
        <v>13</v>
      </c>
      <c r="AM48" s="1">
        <v>198.512727041457</v>
      </c>
      <c r="AN48" s="18">
        <f t="shared" si="3"/>
        <v>497.83114684504937</v>
      </c>
      <c r="AO48" s="13">
        <v>497.83</v>
      </c>
    </row>
    <row r="49" spans="8:41" ht="30" x14ac:dyDescent="0.25">
      <c r="H49" s="8" t="s">
        <v>12</v>
      </c>
      <c r="I49" s="8">
        <f>L43+L38+L37+L33+L31+L28+L27+L24+L23+L20+L16+L11+L10+L7</f>
        <v>15679.326103340545</v>
      </c>
      <c r="J49" s="8">
        <f>I49/L44*100</f>
        <v>26.441785166090316</v>
      </c>
      <c r="K49" s="8">
        <f>N43+N38+N37+N33+N31+N28+N27+N24+N23+N20+N16+N11+N10+N7</f>
        <v>52056.869999999995</v>
      </c>
      <c r="L49" s="8">
        <f>K49/N44*100</f>
        <v>23.916538849139169</v>
      </c>
      <c r="P49" s="1">
        <v>217</v>
      </c>
      <c r="Q49" s="1"/>
      <c r="R49" s="1" t="s">
        <v>9</v>
      </c>
      <c r="S49" s="1" t="s">
        <v>14</v>
      </c>
      <c r="T49" s="1"/>
      <c r="U49" s="6">
        <v>1215.1201641641901</v>
      </c>
      <c r="V49" s="8">
        <f t="shared" si="1"/>
        <v>3976.2551537041932</v>
      </c>
      <c r="W49" s="13">
        <v>3976.26</v>
      </c>
      <c r="Y49" s="1">
        <v>316</v>
      </c>
      <c r="Z49" s="1"/>
      <c r="AA49" s="1" t="s">
        <v>11</v>
      </c>
      <c r="AB49" s="1" t="s">
        <v>12</v>
      </c>
      <c r="AC49" s="1" t="s">
        <v>13</v>
      </c>
      <c r="AD49" s="1">
        <v>185.93835958763501</v>
      </c>
      <c r="AE49" s="18">
        <f t="shared" si="7"/>
        <v>454.80669116505203</v>
      </c>
      <c r="AF49" s="13">
        <v>454.81</v>
      </c>
      <c r="AH49" s="1">
        <v>189</v>
      </c>
      <c r="AI49" s="1"/>
      <c r="AJ49" s="1" t="s">
        <v>19</v>
      </c>
      <c r="AK49" s="1" t="s">
        <v>14</v>
      </c>
      <c r="AL49" s="1" t="s">
        <v>13</v>
      </c>
      <c r="AM49" s="1">
        <v>125.13149454091599</v>
      </c>
      <c r="AN49" s="18">
        <f t="shared" si="3"/>
        <v>246.74992172119821</v>
      </c>
      <c r="AO49" s="13">
        <v>246.75</v>
      </c>
    </row>
    <row r="50" spans="8:41" ht="30" x14ac:dyDescent="0.25">
      <c r="H50" s="8" t="s">
        <v>99</v>
      </c>
      <c r="I50" s="8">
        <f>L42+L34+L32+L29+L26+L22+L21+L15+L14+L13+L8+L6</f>
        <v>23142.31109195928</v>
      </c>
      <c r="J50" s="8">
        <f>I50/L44*100</f>
        <v>39.027443788546712</v>
      </c>
      <c r="K50" s="8">
        <f>N42+N34+N32+N29+N26+N22+N21+N15+N14+N13+N8+N6</f>
        <v>90693.87</v>
      </c>
      <c r="L50" s="8">
        <f>K50/N44*100</f>
        <v>41.667573659994879</v>
      </c>
      <c r="P50" s="1">
        <v>218</v>
      </c>
      <c r="Q50" s="22">
        <v>4000</v>
      </c>
      <c r="R50" s="1" t="s">
        <v>9</v>
      </c>
      <c r="S50" s="1" t="s">
        <v>16</v>
      </c>
      <c r="T50" s="1"/>
      <c r="U50" s="6">
        <v>512.53032587888197</v>
      </c>
      <c r="V50" s="8">
        <f t="shared" si="1"/>
        <v>1572.2737630271824</v>
      </c>
      <c r="W50" s="13">
        <v>1572.27</v>
      </c>
      <c r="Y50" s="1">
        <v>317</v>
      </c>
      <c r="Z50" s="21">
        <v>150</v>
      </c>
      <c r="AA50" s="1" t="s">
        <v>11</v>
      </c>
      <c r="AB50" s="1" t="s">
        <v>14</v>
      </c>
      <c r="AC50" s="1" t="s">
        <v>22</v>
      </c>
      <c r="AD50" s="1">
        <v>219.082363280778</v>
      </c>
      <c r="AE50" s="18">
        <f t="shared" si="7"/>
        <v>568.21221420151005</v>
      </c>
      <c r="AF50" s="13">
        <v>568.21</v>
      </c>
      <c r="AH50" s="1">
        <v>190</v>
      </c>
      <c r="AI50" s="1"/>
      <c r="AJ50" s="1" t="s">
        <v>19</v>
      </c>
      <c r="AK50" s="1" t="s">
        <v>12</v>
      </c>
      <c r="AL50" s="1"/>
      <c r="AM50" s="1">
        <v>215.54122921817</v>
      </c>
      <c r="AN50" s="18">
        <f t="shared" si="3"/>
        <v>556.09586989289051</v>
      </c>
      <c r="AO50" s="13">
        <v>556.1</v>
      </c>
    </row>
    <row r="51" spans="8:41" ht="30" x14ac:dyDescent="0.25">
      <c r="H51" s="20" t="s">
        <v>43</v>
      </c>
      <c r="I51" s="8">
        <f>SUM(I47:I50)</f>
        <v>59297.53231430133</v>
      </c>
      <c r="J51" s="8">
        <f>I51/L44*100</f>
        <v>99.999999999999972</v>
      </c>
      <c r="K51" s="8">
        <f>SUM(K47:K50)</f>
        <v>217660.55</v>
      </c>
      <c r="L51" s="8">
        <f>SUM(L47:L50)</f>
        <v>99.999999999999972</v>
      </c>
      <c r="P51" s="1">
        <v>220</v>
      </c>
      <c r="Q51" s="1"/>
      <c r="R51" s="1" t="s">
        <v>9</v>
      </c>
      <c r="S51" s="1" t="s">
        <v>10</v>
      </c>
      <c r="T51" s="1"/>
      <c r="U51" s="6">
        <v>89.6146878509456</v>
      </c>
      <c r="V51" s="8">
        <f t="shared" si="1"/>
        <v>125.22561595079546</v>
      </c>
      <c r="W51" s="13">
        <v>125.23</v>
      </c>
      <c r="Y51" s="1">
        <v>319</v>
      </c>
      <c r="Z51" s="22">
        <v>8000</v>
      </c>
      <c r="AA51" s="1" t="s">
        <v>11</v>
      </c>
      <c r="AB51" s="1" t="s">
        <v>16</v>
      </c>
      <c r="AC51" s="1" t="s">
        <v>29</v>
      </c>
      <c r="AD51" s="1">
        <v>1714.3062461587499</v>
      </c>
      <c r="AE51" s="18">
        <f t="shared" si="7"/>
        <v>5684.2702518567794</v>
      </c>
      <c r="AF51" s="13">
        <v>5684.27</v>
      </c>
      <c r="AH51" s="1">
        <v>191</v>
      </c>
      <c r="AI51" s="1"/>
      <c r="AJ51" s="1" t="s">
        <v>19</v>
      </c>
      <c r="AK51" s="1" t="s">
        <v>14</v>
      </c>
      <c r="AL51" s="1" t="s">
        <v>22</v>
      </c>
      <c r="AM51" s="1">
        <v>73.372223199835204</v>
      </c>
      <c r="AN51" s="18">
        <f t="shared" si="3"/>
        <v>69.650398900556155</v>
      </c>
      <c r="AO51" s="13">
        <v>69.650000000000006</v>
      </c>
    </row>
    <row r="52" spans="8:41" ht="30" x14ac:dyDescent="0.25">
      <c r="P52" s="1">
        <v>221</v>
      </c>
      <c r="Q52" s="2">
        <v>4000</v>
      </c>
      <c r="R52" s="1" t="s">
        <v>9</v>
      </c>
      <c r="S52" s="1" t="s">
        <v>16</v>
      </c>
      <c r="T52" s="1"/>
      <c r="U52" s="6">
        <v>1212.0260748835101</v>
      </c>
      <c r="V52" s="8">
        <f t="shared" si="1"/>
        <v>3965.6684178214186</v>
      </c>
      <c r="W52" s="13">
        <v>4000</v>
      </c>
      <c r="Y52" s="1">
        <v>323</v>
      </c>
      <c r="Z52" s="22">
        <v>1500</v>
      </c>
      <c r="AA52" s="1" t="s">
        <v>11</v>
      </c>
      <c r="AB52" s="1" t="s">
        <v>14</v>
      </c>
      <c r="AC52" s="1" t="s">
        <v>21</v>
      </c>
      <c r="AD52" s="1">
        <v>1737.31557287385</v>
      </c>
      <c r="AE52" s="18">
        <f t="shared" si="7"/>
        <v>5762.9989641451657</v>
      </c>
      <c r="AF52" s="13">
        <v>5762.99</v>
      </c>
      <c r="AH52" s="1">
        <v>192</v>
      </c>
      <c r="AI52" s="1"/>
      <c r="AJ52" s="1" t="s">
        <v>19</v>
      </c>
      <c r="AK52" s="1" t="s">
        <v>10</v>
      </c>
      <c r="AL52" s="1" t="s">
        <v>23</v>
      </c>
      <c r="AM52" s="1">
        <v>203.27156449122501</v>
      </c>
      <c r="AN52" s="18">
        <f t="shared" si="3"/>
        <v>514.11398506317551</v>
      </c>
      <c r="AO52" s="13">
        <v>514.11</v>
      </c>
    </row>
    <row r="53" spans="8:41" ht="30" x14ac:dyDescent="0.25">
      <c r="P53" s="1">
        <v>223</v>
      </c>
      <c r="Q53" s="1"/>
      <c r="R53" s="1" t="s">
        <v>9</v>
      </c>
      <c r="S53" s="1" t="s">
        <v>16</v>
      </c>
      <c r="T53" s="1"/>
      <c r="U53" s="6">
        <v>1175.39500784554</v>
      </c>
      <c r="V53" s="8">
        <f t="shared" si="1"/>
        <v>3840.3315588442997</v>
      </c>
      <c r="W53" s="13">
        <v>3840.33</v>
      </c>
      <c r="Y53" s="1">
        <v>331</v>
      </c>
      <c r="Z53" s="1"/>
      <c r="AA53" s="1" t="s">
        <v>11</v>
      </c>
      <c r="AB53" s="1" t="s">
        <v>10</v>
      </c>
      <c r="AC53" s="1" t="s">
        <v>23</v>
      </c>
      <c r="AD53" s="1">
        <v>633.71099181971397</v>
      </c>
      <c r="AE53" s="18">
        <f t="shared" si="7"/>
        <v>1986.9055296103334</v>
      </c>
      <c r="AF53" s="13">
        <v>1986.91</v>
      </c>
      <c r="AH53" s="1">
        <v>193</v>
      </c>
      <c r="AI53" s="2">
        <v>2000</v>
      </c>
      <c r="AJ53" s="1" t="s">
        <v>19</v>
      </c>
      <c r="AK53" s="1" t="s">
        <v>17</v>
      </c>
      <c r="AL53" s="1" t="s">
        <v>24</v>
      </c>
      <c r="AM53" s="1">
        <v>675.69201738788502</v>
      </c>
      <c r="AN53" s="18">
        <f t="shared" si="3"/>
        <v>2130.5478066943874</v>
      </c>
      <c r="AO53" s="13">
        <v>2000</v>
      </c>
    </row>
    <row r="54" spans="8:41" ht="30" x14ac:dyDescent="0.25">
      <c r="P54" s="1">
        <v>224</v>
      </c>
      <c r="Q54" s="2">
        <v>3600</v>
      </c>
      <c r="R54" s="1" t="s">
        <v>9</v>
      </c>
      <c r="S54" s="1" t="s">
        <v>16</v>
      </c>
      <c r="T54" s="1"/>
      <c r="U54" s="6">
        <v>787.81277071656905</v>
      </c>
      <c r="V54" s="8">
        <f t="shared" si="1"/>
        <v>2514.1801762838127</v>
      </c>
      <c r="W54" s="13">
        <v>3600</v>
      </c>
      <c r="Y54" s="1">
        <v>332</v>
      </c>
      <c r="Z54" s="2">
        <v>20000</v>
      </c>
      <c r="AA54" s="1" t="s">
        <v>11</v>
      </c>
      <c r="AB54" s="1" t="s">
        <v>16</v>
      </c>
      <c r="AC54" s="1" t="s">
        <v>32</v>
      </c>
      <c r="AD54" s="1">
        <v>4472.5676897594403</v>
      </c>
      <c r="AE54" s="18">
        <f t="shared" si="7"/>
        <v>15121.937607280903</v>
      </c>
      <c r="AF54" s="13">
        <v>20000</v>
      </c>
      <c r="AH54" s="1">
        <v>194</v>
      </c>
      <c r="AI54" s="1"/>
      <c r="AJ54" s="1" t="s">
        <v>19</v>
      </c>
      <c r="AK54" s="1" t="s">
        <v>10</v>
      </c>
      <c r="AL54" s="1" t="s">
        <v>22</v>
      </c>
      <c r="AM54" s="1">
        <v>965.70042454154498</v>
      </c>
      <c r="AN54" s="18">
        <f t="shared" si="3"/>
        <v>3122.8405726113506</v>
      </c>
      <c r="AO54" s="13">
        <v>3122.84</v>
      </c>
    </row>
    <row r="55" spans="8:41" ht="30" x14ac:dyDescent="0.25">
      <c r="P55" s="1">
        <v>225</v>
      </c>
      <c r="Q55" s="1"/>
      <c r="R55" s="1" t="s">
        <v>9</v>
      </c>
      <c r="S55" s="1" t="s">
        <v>12</v>
      </c>
      <c r="T55" s="1"/>
      <c r="U55" s="6">
        <v>249.10269601155099</v>
      </c>
      <c r="V55" s="8">
        <f t="shared" si="1"/>
        <v>670.92978467312298</v>
      </c>
      <c r="W55" s="13">
        <v>670.93</v>
      </c>
      <c r="Y55" s="1">
        <v>334</v>
      </c>
      <c r="Z55" s="1"/>
      <c r="AA55" s="1" t="s">
        <v>11</v>
      </c>
      <c r="AB55" s="1" t="s">
        <v>16</v>
      </c>
      <c r="AC55" s="1" t="s">
        <v>22</v>
      </c>
      <c r="AD55" s="1">
        <v>576.27947920350596</v>
      </c>
      <c r="AE55" s="18">
        <f t="shared" si="7"/>
        <v>1790.397866042716</v>
      </c>
      <c r="AF55" s="13">
        <v>1790.4</v>
      </c>
      <c r="AH55" s="1">
        <v>195</v>
      </c>
      <c r="AI55" s="1"/>
      <c r="AJ55" s="1" t="s">
        <v>19</v>
      </c>
      <c r="AK55" s="1" t="s">
        <v>10</v>
      </c>
      <c r="AL55" s="1" t="s">
        <v>24</v>
      </c>
      <c r="AM55" s="1">
        <v>472.09093470121701</v>
      </c>
      <c r="AN55" s="18">
        <f t="shared" si="3"/>
        <v>1433.9063421736842</v>
      </c>
      <c r="AO55" s="13">
        <v>1433.91</v>
      </c>
    </row>
    <row r="56" spans="8:41" ht="30" x14ac:dyDescent="0.25">
      <c r="P56" s="1">
        <v>226</v>
      </c>
      <c r="Q56" s="2">
        <v>5000</v>
      </c>
      <c r="R56" s="1" t="s">
        <v>9</v>
      </c>
      <c r="S56" s="1" t="s">
        <v>16</v>
      </c>
      <c r="T56" s="1" t="s">
        <v>21</v>
      </c>
      <c r="U56" s="6">
        <v>1032.0922484519101</v>
      </c>
      <c r="V56" s="8">
        <f t="shared" si="1"/>
        <v>3350.0068373030558</v>
      </c>
      <c r="W56" s="13">
        <v>5000</v>
      </c>
      <c r="Y56" s="1">
        <v>338</v>
      </c>
      <c r="Z56" s="1">
        <v>500</v>
      </c>
      <c r="AA56" s="1" t="s">
        <v>11</v>
      </c>
      <c r="AB56" s="1" t="s">
        <v>16</v>
      </c>
      <c r="AC56" s="1" t="s">
        <v>20</v>
      </c>
      <c r="AD56" s="1">
        <v>471.51937426611499</v>
      </c>
      <c r="AE56" s="18">
        <f t="shared" si="7"/>
        <v>1431.950690988939</v>
      </c>
      <c r="AF56" s="13">
        <v>500</v>
      </c>
      <c r="AH56" s="1">
        <v>196</v>
      </c>
      <c r="AI56" s="1"/>
      <c r="AJ56" s="1" t="s">
        <v>19</v>
      </c>
      <c r="AK56" s="1" t="s">
        <v>16</v>
      </c>
      <c r="AL56" s="1" t="s">
        <v>22</v>
      </c>
      <c r="AM56" s="1">
        <v>1497.07160333395</v>
      </c>
      <c r="AN56" s="18">
        <f t="shared" si="3"/>
        <v>4940.9801979674439</v>
      </c>
      <c r="AO56" s="13">
        <v>4940.9799999999996</v>
      </c>
    </row>
    <row r="57" spans="8:41" ht="30" x14ac:dyDescent="0.25">
      <c r="P57" s="1">
        <v>227</v>
      </c>
      <c r="Q57" s="1"/>
      <c r="R57" s="1" t="s">
        <v>9</v>
      </c>
      <c r="S57" s="1" t="s">
        <v>12</v>
      </c>
      <c r="T57" s="1"/>
      <c r="U57" s="6">
        <v>209.26707033036499</v>
      </c>
      <c r="V57" s="8">
        <f t="shared" si="1"/>
        <v>534.62820784237692</v>
      </c>
      <c r="W57" s="13">
        <v>534.63</v>
      </c>
      <c r="Y57" s="1">
        <v>339</v>
      </c>
      <c r="Z57" s="2">
        <v>1000</v>
      </c>
      <c r="AA57" s="1" t="s">
        <v>11</v>
      </c>
      <c r="AB57" s="1" t="s">
        <v>16</v>
      </c>
      <c r="AC57" s="1" t="s">
        <v>23</v>
      </c>
      <c r="AD57" s="1">
        <v>364.85088534386</v>
      </c>
      <c r="AE57" s="18">
        <f t="shared" si="7"/>
        <v>1066.9737892925514</v>
      </c>
      <c r="AF57" s="13">
        <v>1000</v>
      </c>
      <c r="AH57" s="1">
        <v>275</v>
      </c>
      <c r="AI57" s="21">
        <v>500</v>
      </c>
      <c r="AJ57" s="1" t="s">
        <v>19</v>
      </c>
      <c r="AK57" s="1" t="s">
        <v>16</v>
      </c>
      <c r="AL57" s="1" t="s">
        <v>21</v>
      </c>
      <c r="AM57" s="1">
        <v>543.26651550147005</v>
      </c>
      <c r="AN57" s="18">
        <f t="shared" si="3"/>
        <v>1677.44070943983</v>
      </c>
      <c r="AO57" s="13">
        <v>1677.44</v>
      </c>
    </row>
    <row r="58" spans="8:41" ht="30" x14ac:dyDescent="0.25">
      <c r="P58" s="1">
        <v>228</v>
      </c>
      <c r="Q58" s="1"/>
      <c r="R58" s="1" t="s">
        <v>9</v>
      </c>
      <c r="S58" s="1" t="s">
        <v>16</v>
      </c>
      <c r="T58" s="1"/>
      <c r="U58" s="6">
        <v>22.564175028383701</v>
      </c>
      <c r="V58" s="8">
        <f t="shared" si="1"/>
        <v>-104.19441872288233</v>
      </c>
      <c r="W58" s="13">
        <v>22.56</v>
      </c>
      <c r="Y58" s="1">
        <v>340</v>
      </c>
      <c r="Z58" s="1"/>
      <c r="AA58" s="1" t="s">
        <v>11</v>
      </c>
      <c r="AB58" s="1" t="s">
        <v>17</v>
      </c>
      <c r="AC58" s="1" t="s">
        <v>13</v>
      </c>
      <c r="AD58" s="1">
        <v>172.390179273754</v>
      </c>
      <c r="AE58" s="18">
        <f t="shared" si="7"/>
        <v>408.4502374030767</v>
      </c>
      <c r="AF58" s="13">
        <v>408.45</v>
      </c>
      <c r="AH58" s="1">
        <v>276</v>
      </c>
      <c r="AI58" s="2">
        <v>2500</v>
      </c>
      <c r="AJ58" s="1" t="s">
        <v>19</v>
      </c>
      <c r="AK58" s="1" t="s">
        <v>16</v>
      </c>
      <c r="AL58" s="1" t="s">
        <v>33</v>
      </c>
      <c r="AM58" s="1">
        <v>846.61127855317898</v>
      </c>
      <c r="AN58" s="18">
        <f t="shared" si="3"/>
        <v>2715.3651506975571</v>
      </c>
      <c r="AO58" s="13">
        <v>2500</v>
      </c>
    </row>
    <row r="59" spans="8:41" ht="30" x14ac:dyDescent="0.25">
      <c r="P59" s="1">
        <v>230</v>
      </c>
      <c r="Q59" s="1"/>
      <c r="R59" s="1" t="s">
        <v>9</v>
      </c>
      <c r="S59" s="1" t="s">
        <v>16</v>
      </c>
      <c r="T59" s="1"/>
      <c r="U59" s="6">
        <v>53.197166413422103</v>
      </c>
      <c r="V59" s="8">
        <f t="shared" si="1"/>
        <v>0.61942460016507539</v>
      </c>
      <c r="W59" s="13">
        <v>53.19</v>
      </c>
      <c r="Y59" s="1">
        <v>342</v>
      </c>
      <c r="Z59" s="1"/>
      <c r="AA59" s="1" t="s">
        <v>11</v>
      </c>
      <c r="AB59" s="1" t="s">
        <v>10</v>
      </c>
      <c r="AC59" s="1" t="s">
        <v>20</v>
      </c>
      <c r="AD59" s="1">
        <v>476.583770442542</v>
      </c>
      <c r="AE59" s="18">
        <f t="shared" si="7"/>
        <v>1449.2790289462018</v>
      </c>
      <c r="AF59" s="13">
        <v>1449.28</v>
      </c>
      <c r="AH59" s="1">
        <v>278</v>
      </c>
      <c r="AI59" s="2">
        <v>20000</v>
      </c>
      <c r="AJ59" s="1" t="s">
        <v>19</v>
      </c>
      <c r="AK59" s="1" t="s">
        <v>16</v>
      </c>
      <c r="AL59" s="1" t="s">
        <v>31</v>
      </c>
      <c r="AM59" s="1">
        <v>5491.6641221476802</v>
      </c>
      <c r="AN59" s="18">
        <f t="shared" si="3"/>
        <v>18608.877960340502</v>
      </c>
      <c r="AO59" s="13">
        <v>20000</v>
      </c>
    </row>
    <row r="60" spans="8:41" ht="30" x14ac:dyDescent="0.25">
      <c r="P60" s="1">
        <v>231</v>
      </c>
      <c r="Q60" s="1"/>
      <c r="R60" s="1" t="s">
        <v>9</v>
      </c>
      <c r="S60" s="1" t="s">
        <v>16</v>
      </c>
      <c r="T60" s="1"/>
      <c r="U60" s="6">
        <v>1325.7142526436901</v>
      </c>
      <c r="V60" s="8">
        <f t="shared" si="1"/>
        <v>4354.6638868456503</v>
      </c>
      <c r="W60" s="13">
        <v>4354.66</v>
      </c>
      <c r="Y60" s="1">
        <v>343</v>
      </c>
      <c r="Z60" s="1"/>
      <c r="AA60" s="1" t="s">
        <v>11</v>
      </c>
      <c r="AB60" s="1" t="s">
        <v>16</v>
      </c>
      <c r="AC60" s="1" t="s">
        <v>29</v>
      </c>
      <c r="AD60" s="1">
        <v>2402.5658676173598</v>
      </c>
      <c r="AE60" s="18">
        <f t="shared" si="7"/>
        <v>8039.2193726395599</v>
      </c>
      <c r="AF60" s="13">
        <v>8039.22</v>
      </c>
      <c r="AH60" s="1">
        <v>281</v>
      </c>
      <c r="AI60" s="1"/>
      <c r="AJ60" s="1" t="s">
        <v>19</v>
      </c>
      <c r="AK60" s="1" t="s">
        <v>16</v>
      </c>
      <c r="AL60" s="1" t="s">
        <v>13</v>
      </c>
      <c r="AM60" s="1">
        <v>166.25022621327099</v>
      </c>
      <c r="AN60" s="18">
        <f t="shared" si="3"/>
        <v>387.44177401132811</v>
      </c>
      <c r="AO60" s="13">
        <v>387.44</v>
      </c>
    </row>
    <row r="61" spans="8:41" ht="30" x14ac:dyDescent="0.25">
      <c r="P61" s="1">
        <v>236</v>
      </c>
      <c r="Q61" s="2">
        <v>4200</v>
      </c>
      <c r="R61" s="1" t="s">
        <v>9</v>
      </c>
      <c r="S61" s="1" t="s">
        <v>10</v>
      </c>
      <c r="T61" s="1" t="s">
        <v>29</v>
      </c>
      <c r="U61" s="6">
        <v>1467.94623151568</v>
      </c>
      <c r="V61" s="8">
        <f t="shared" si="1"/>
        <v>4841.3248257540508</v>
      </c>
      <c r="W61" s="13">
        <v>4200</v>
      </c>
      <c r="Y61" s="1">
        <v>344</v>
      </c>
      <c r="Z61" s="2">
        <v>6000</v>
      </c>
      <c r="AA61" s="1" t="s">
        <v>11</v>
      </c>
      <c r="AB61" s="1" t="s">
        <v>16</v>
      </c>
      <c r="AC61" s="1" t="s">
        <v>20</v>
      </c>
      <c r="AD61" s="1">
        <v>1789.0310013523101</v>
      </c>
      <c r="AE61" s="18">
        <f t="shared" si="7"/>
        <v>5939.9484742270652</v>
      </c>
      <c r="AF61" s="13">
        <v>6000</v>
      </c>
      <c r="AH61" s="1">
        <v>282</v>
      </c>
      <c r="AI61" s="1"/>
      <c r="AJ61" s="1" t="s">
        <v>19</v>
      </c>
      <c r="AK61" s="1" t="s">
        <v>12</v>
      </c>
      <c r="AL61" s="1" t="s">
        <v>13</v>
      </c>
      <c r="AM61" s="1">
        <v>708.16561451428902</v>
      </c>
      <c r="AN61" s="18">
        <f t="shared" si="3"/>
        <v>2241.6594666220913</v>
      </c>
      <c r="AO61" s="13">
        <v>2241.66</v>
      </c>
    </row>
    <row r="62" spans="8:41" ht="30" x14ac:dyDescent="0.25">
      <c r="P62" s="1">
        <v>237</v>
      </c>
      <c r="Q62" s="2">
        <v>1800</v>
      </c>
      <c r="R62" s="1" t="s">
        <v>9</v>
      </c>
      <c r="S62" s="1" t="s">
        <v>16</v>
      </c>
      <c r="T62" s="1" t="s">
        <v>20</v>
      </c>
      <c r="U62" s="6">
        <v>791.09900017587802</v>
      </c>
      <c r="V62" s="8">
        <f t="shared" si="1"/>
        <v>2525.4243390017841</v>
      </c>
      <c r="W62" s="13">
        <v>1800</v>
      </c>
      <c r="Y62" s="1">
        <v>345</v>
      </c>
      <c r="Z62" s="1"/>
      <c r="AA62" s="1" t="s">
        <v>11</v>
      </c>
      <c r="AB62" s="1" t="s">
        <v>14</v>
      </c>
      <c r="AC62" s="1" t="s">
        <v>21</v>
      </c>
      <c r="AD62" s="1">
        <v>693.98633821592102</v>
      </c>
      <c r="AE62" s="18">
        <f t="shared" si="7"/>
        <v>2193.1436548395955</v>
      </c>
      <c r="AF62" s="13">
        <v>2193.14</v>
      </c>
      <c r="AH62" s="1">
        <v>286</v>
      </c>
      <c r="AI62" s="2">
        <v>3000</v>
      </c>
      <c r="AJ62" s="1" t="s">
        <v>19</v>
      </c>
      <c r="AK62" s="1" t="s">
        <v>16</v>
      </c>
      <c r="AL62" s="1" t="s">
        <v>20</v>
      </c>
      <c r="AM62" s="1">
        <v>734.37855258083096</v>
      </c>
      <c r="AN62" s="18">
        <f t="shared" si="3"/>
        <v>2331.3496555105712</v>
      </c>
      <c r="AO62" s="13">
        <v>3000</v>
      </c>
    </row>
    <row r="63" spans="8:41" ht="30" x14ac:dyDescent="0.25">
      <c r="P63" s="1">
        <v>239</v>
      </c>
      <c r="Q63" s="22">
        <v>2160</v>
      </c>
      <c r="R63" s="1" t="s">
        <v>9</v>
      </c>
      <c r="S63" s="1" t="s">
        <v>16</v>
      </c>
      <c r="T63" s="1"/>
      <c r="U63" s="6">
        <v>2210.5134840525998</v>
      </c>
      <c r="V63" s="8">
        <f t="shared" si="1"/>
        <v>7382.0929370343765</v>
      </c>
      <c r="W63" s="13">
        <v>7382.09</v>
      </c>
      <c r="Y63" s="1">
        <v>346</v>
      </c>
      <c r="Z63" s="22">
        <v>1500</v>
      </c>
      <c r="AA63" s="1" t="s">
        <v>11</v>
      </c>
      <c r="AB63" s="1" t="s">
        <v>14</v>
      </c>
      <c r="AC63" s="1"/>
      <c r="AD63" s="1">
        <v>853.40390322562496</v>
      </c>
      <c r="AE63" s="18">
        <f t="shared" si="7"/>
        <v>2738.6067952767985</v>
      </c>
      <c r="AF63" s="13">
        <v>2738.61</v>
      </c>
      <c r="AH63" s="1">
        <v>52</v>
      </c>
      <c r="AI63" s="1"/>
      <c r="AJ63" s="1" t="s">
        <v>19</v>
      </c>
      <c r="AK63" s="1" t="s">
        <v>12</v>
      </c>
      <c r="AL63" s="1" t="s">
        <v>15</v>
      </c>
      <c r="AM63" s="1">
        <v>128.90848209602501</v>
      </c>
      <c r="AN63" s="18">
        <f t="shared" si="3"/>
        <v>259.67326233975916</v>
      </c>
      <c r="AO63" s="13">
        <v>259.67</v>
      </c>
    </row>
    <row r="64" spans="8:41" ht="30" x14ac:dyDescent="0.25">
      <c r="P64" s="1">
        <v>257</v>
      </c>
      <c r="Q64" s="1"/>
      <c r="R64" s="1" t="s">
        <v>9</v>
      </c>
      <c r="S64" s="1" t="s">
        <v>12</v>
      </c>
      <c r="T64" s="1"/>
      <c r="U64" s="6">
        <v>205.300964648557</v>
      </c>
      <c r="V64" s="8">
        <f t="shared" si="1"/>
        <v>521.05778064150275</v>
      </c>
      <c r="W64" s="13">
        <v>521.05999999999995</v>
      </c>
      <c r="Y64" s="1">
        <v>347</v>
      </c>
      <c r="Z64" s="2">
        <v>1500</v>
      </c>
      <c r="AA64" s="1" t="s">
        <v>11</v>
      </c>
      <c r="AB64" s="1" t="s">
        <v>17</v>
      </c>
      <c r="AC64" s="1" t="s">
        <v>24</v>
      </c>
      <c r="AD64" s="1">
        <v>593.10778056656795</v>
      </c>
      <c r="AE64" s="18">
        <f t="shared" si="7"/>
        <v>1847.977581986569</v>
      </c>
      <c r="AF64" s="13">
        <v>1500</v>
      </c>
      <c r="AH64" s="1">
        <v>878</v>
      </c>
      <c r="AI64" s="1"/>
      <c r="AJ64" s="1" t="s">
        <v>19</v>
      </c>
      <c r="AK64" s="1" t="s">
        <v>17</v>
      </c>
      <c r="AL64" s="1" t="s">
        <v>13</v>
      </c>
      <c r="AM64" s="1">
        <v>111.636452853381</v>
      </c>
      <c r="AN64" s="18">
        <f t="shared" si="3"/>
        <v>200.57528708312847</v>
      </c>
      <c r="AO64" s="13">
        <v>200.58</v>
      </c>
    </row>
    <row r="65" spans="16:41" ht="30" x14ac:dyDescent="0.25">
      <c r="P65" s="1">
        <v>258</v>
      </c>
      <c r="Q65" s="1"/>
      <c r="R65" s="1" t="s">
        <v>9</v>
      </c>
      <c r="S65" s="1" t="s">
        <v>12</v>
      </c>
      <c r="T65" s="1"/>
      <c r="U65" s="6">
        <v>233.677330748998</v>
      </c>
      <c r="V65" s="8">
        <f t="shared" si="1"/>
        <v>618.15035489077161</v>
      </c>
      <c r="W65" s="13">
        <v>618.15</v>
      </c>
      <c r="Y65" s="1">
        <v>348</v>
      </c>
      <c r="Z65" s="1"/>
      <c r="AA65" s="1" t="s">
        <v>11</v>
      </c>
      <c r="AB65" s="1" t="s">
        <v>10</v>
      </c>
      <c r="AC65" s="1" t="s">
        <v>20</v>
      </c>
      <c r="AD65" s="1">
        <v>4415.8545480637804</v>
      </c>
      <c r="AE65" s="18">
        <f t="shared" si="7"/>
        <v>14927.887921655032</v>
      </c>
      <c r="AF65" s="13">
        <v>14927.89</v>
      </c>
      <c r="AH65" s="1">
        <v>879</v>
      </c>
      <c r="AI65" s="1">
        <v>400</v>
      </c>
      <c r="AJ65" s="1" t="s">
        <v>19</v>
      </c>
      <c r="AK65" s="1" t="s">
        <v>12</v>
      </c>
      <c r="AL65" s="1" t="s">
        <v>24</v>
      </c>
      <c r="AM65" s="1">
        <v>127.72703054326701</v>
      </c>
      <c r="AN65" s="18">
        <f t="shared" si="3"/>
        <v>255.63080770684243</v>
      </c>
      <c r="AO65" s="13">
        <v>400</v>
      </c>
    </row>
    <row r="66" spans="16:41" ht="30" x14ac:dyDescent="0.25">
      <c r="P66" s="1">
        <v>259</v>
      </c>
      <c r="Q66" s="2">
        <v>1125</v>
      </c>
      <c r="R66" s="1" t="s">
        <v>9</v>
      </c>
      <c r="S66" s="1" t="s">
        <v>14</v>
      </c>
      <c r="T66" s="1"/>
      <c r="U66" s="6">
        <v>515.435019496584</v>
      </c>
      <c r="V66" s="8">
        <f t="shared" si="1"/>
        <v>1582.2124627095118</v>
      </c>
      <c r="W66" s="13">
        <v>1125</v>
      </c>
      <c r="Y66" s="1">
        <v>349</v>
      </c>
      <c r="Z66" s="1"/>
      <c r="AA66" s="1" t="s">
        <v>11</v>
      </c>
      <c r="AB66" s="1" t="s">
        <v>14</v>
      </c>
      <c r="AC66" s="1" t="s">
        <v>24</v>
      </c>
      <c r="AD66" s="1">
        <v>247.82630977266999</v>
      </c>
      <c r="AE66" s="18">
        <f t="shared" si="7"/>
        <v>666.56250151816766</v>
      </c>
      <c r="AF66" s="13">
        <v>666.56</v>
      </c>
      <c r="AH66" s="1">
        <v>881</v>
      </c>
      <c r="AI66" s="1"/>
      <c r="AJ66" s="1" t="s">
        <v>19</v>
      </c>
      <c r="AK66" s="1" t="s">
        <v>16</v>
      </c>
      <c r="AL66" s="1" t="s">
        <v>23</v>
      </c>
      <c r="AM66" s="1">
        <v>378.22903940010599</v>
      </c>
      <c r="AN66" s="18">
        <f t="shared" si="3"/>
        <v>1112.7484812114026</v>
      </c>
      <c r="AO66" s="13">
        <v>1112.75</v>
      </c>
    </row>
    <row r="67" spans="16:41" ht="30" x14ac:dyDescent="0.25">
      <c r="P67" s="1">
        <v>260</v>
      </c>
      <c r="Q67" s="2">
        <v>1200</v>
      </c>
      <c r="R67" s="1" t="s">
        <v>9</v>
      </c>
      <c r="S67" s="1" t="s">
        <v>34</v>
      </c>
      <c r="T67" s="1"/>
      <c r="U67" s="6">
        <v>980.65177165355306</v>
      </c>
      <c r="V67" s="8">
        <f t="shared" si="1"/>
        <v>3173.9981018897975</v>
      </c>
      <c r="W67" s="13">
        <v>1200</v>
      </c>
      <c r="Y67" s="1">
        <v>350</v>
      </c>
      <c r="Z67" s="2">
        <v>2100</v>
      </c>
      <c r="AA67" s="1" t="s">
        <v>11</v>
      </c>
      <c r="AB67" s="1" t="s">
        <v>16</v>
      </c>
      <c r="AC67" s="1" t="s">
        <v>23</v>
      </c>
      <c r="AD67" s="1">
        <v>713.26023490967395</v>
      </c>
      <c r="AE67" s="18">
        <f t="shared" si="7"/>
        <v>2259.0912197669404</v>
      </c>
      <c r="AF67" s="13">
        <v>2100</v>
      </c>
      <c r="AH67" s="1">
        <v>895</v>
      </c>
      <c r="AI67" s="1"/>
      <c r="AJ67" s="1" t="s">
        <v>19</v>
      </c>
      <c r="AK67" s="1" t="s">
        <v>12</v>
      </c>
      <c r="AL67" s="1" t="s">
        <v>15</v>
      </c>
      <c r="AM67" s="1">
        <v>155.363388096797</v>
      </c>
      <c r="AN67" s="18">
        <f t="shared" si="3"/>
        <v>350.19136871200067</v>
      </c>
      <c r="AO67" s="13">
        <v>350.19</v>
      </c>
    </row>
    <row r="68" spans="16:41" ht="30" x14ac:dyDescent="0.25">
      <c r="P68" s="1">
        <v>261</v>
      </c>
      <c r="Q68" s="2">
        <v>15000</v>
      </c>
      <c r="R68" s="1" t="s">
        <v>9</v>
      </c>
      <c r="S68" s="1" t="s">
        <v>16</v>
      </c>
      <c r="T68" s="1"/>
      <c r="U68" s="6">
        <v>3566.7484971885301</v>
      </c>
      <c r="V68" s="8">
        <f t="shared" ref="V68:V97" si="9">3.4216*U68-181.4</f>
        <v>12022.586657980275</v>
      </c>
      <c r="W68" s="13">
        <v>15000</v>
      </c>
      <c r="Y68" s="1">
        <v>351</v>
      </c>
      <c r="Z68" s="1"/>
      <c r="AA68" s="1" t="s">
        <v>11</v>
      </c>
      <c r="AB68" s="1" t="s">
        <v>16</v>
      </c>
      <c r="AC68" s="1" t="s">
        <v>15</v>
      </c>
      <c r="AD68" s="1">
        <v>133.248329502225</v>
      </c>
      <c r="AE68" s="18">
        <f t="shared" si="7"/>
        <v>274.52248422481307</v>
      </c>
      <c r="AF68" s="13">
        <v>274.52</v>
      </c>
      <c r="AH68" s="1">
        <v>898</v>
      </c>
      <c r="AI68" s="1"/>
      <c r="AJ68" s="1" t="s">
        <v>19</v>
      </c>
      <c r="AK68" s="1" t="s">
        <v>12</v>
      </c>
      <c r="AL68" s="1" t="s">
        <v>23</v>
      </c>
      <c r="AM68" s="1">
        <v>288.173901157736</v>
      </c>
      <c r="AN68" s="18">
        <f t="shared" ref="AN68:AN74" si="10">3.4216*AM68-181.4</f>
        <v>804.61582020130959</v>
      </c>
      <c r="AO68" s="13">
        <v>804.62</v>
      </c>
    </row>
    <row r="69" spans="16:41" ht="30" x14ac:dyDescent="0.25">
      <c r="P69" s="1">
        <v>262</v>
      </c>
      <c r="Q69" s="1"/>
      <c r="R69" s="1" t="s">
        <v>9</v>
      </c>
      <c r="S69" s="1" t="s">
        <v>12</v>
      </c>
      <c r="T69" s="1"/>
      <c r="U69" s="6">
        <v>169.43867936087699</v>
      </c>
      <c r="V69" s="8">
        <f t="shared" si="9"/>
        <v>398.35138530117672</v>
      </c>
      <c r="W69" s="13">
        <v>398.35</v>
      </c>
      <c r="Y69" s="1">
        <v>352</v>
      </c>
      <c r="Z69" s="1"/>
      <c r="AA69" s="1" t="s">
        <v>11</v>
      </c>
      <c r="AB69" s="1" t="s">
        <v>16</v>
      </c>
      <c r="AC69" s="1" t="s">
        <v>15</v>
      </c>
      <c r="AD69" s="1">
        <v>107.455867995354</v>
      </c>
      <c r="AE69" s="18">
        <f t="shared" ref="AE69:AE92" si="11">3.4216*AD69-181.4</f>
        <v>186.27099793290327</v>
      </c>
      <c r="AF69" s="13">
        <v>186.27</v>
      </c>
      <c r="AH69" s="1">
        <v>94</v>
      </c>
      <c r="AI69" s="2">
        <v>15000</v>
      </c>
      <c r="AJ69" s="1" t="s">
        <v>19</v>
      </c>
      <c r="AK69" s="1" t="s">
        <v>10</v>
      </c>
      <c r="AL69" s="1" t="s">
        <v>29</v>
      </c>
      <c r="AM69" s="1">
        <v>2034.0265845542301</v>
      </c>
      <c r="AN69" s="18">
        <f t="shared" si="10"/>
        <v>6778.2253617107544</v>
      </c>
      <c r="AO69" s="13">
        <v>15000</v>
      </c>
    </row>
    <row r="70" spans="16:41" ht="30" x14ac:dyDescent="0.25">
      <c r="P70" s="1">
        <v>263</v>
      </c>
      <c r="Q70" s="1"/>
      <c r="R70" s="1" t="s">
        <v>9</v>
      </c>
      <c r="S70" s="1" t="s">
        <v>16</v>
      </c>
      <c r="T70" s="1"/>
      <c r="U70" s="6">
        <v>222.00985854247801</v>
      </c>
      <c r="V70" s="8">
        <f t="shared" si="9"/>
        <v>578.2289319889428</v>
      </c>
      <c r="W70" s="13">
        <v>578.23</v>
      </c>
      <c r="Y70" s="1">
        <v>353</v>
      </c>
      <c r="Z70" s="2">
        <v>7000</v>
      </c>
      <c r="AA70" s="1" t="s">
        <v>11</v>
      </c>
      <c r="AB70" s="1" t="s">
        <v>14</v>
      </c>
      <c r="AC70" s="1" t="s">
        <v>20</v>
      </c>
      <c r="AD70" s="1">
        <v>2288.6072974403401</v>
      </c>
      <c r="AE70" s="18">
        <f t="shared" si="11"/>
        <v>7649.2987289218681</v>
      </c>
      <c r="AF70" s="13">
        <v>7000</v>
      </c>
      <c r="AH70" s="1">
        <v>95</v>
      </c>
      <c r="AI70" s="2">
        <v>5000</v>
      </c>
      <c r="AJ70" s="1" t="s">
        <v>19</v>
      </c>
      <c r="AK70" s="1" t="s">
        <v>10</v>
      </c>
      <c r="AL70" s="1" t="s">
        <v>20</v>
      </c>
      <c r="AM70" s="1">
        <v>2078.69915591677</v>
      </c>
      <c r="AN70" s="18">
        <f t="shared" si="10"/>
        <v>6931.0770318848208</v>
      </c>
      <c r="AO70" s="13">
        <v>5000</v>
      </c>
    </row>
    <row r="71" spans="16:41" ht="30" x14ac:dyDescent="0.25">
      <c r="P71" s="1">
        <v>264</v>
      </c>
      <c r="Q71" s="1"/>
      <c r="R71" s="1" t="s">
        <v>9</v>
      </c>
      <c r="S71" s="1" t="s">
        <v>12</v>
      </c>
      <c r="T71" s="1"/>
      <c r="U71" s="6">
        <v>200.04280449948001</v>
      </c>
      <c r="V71" s="8">
        <f t="shared" si="9"/>
        <v>503.06645987542083</v>
      </c>
      <c r="W71" s="13">
        <v>503.07</v>
      </c>
      <c r="Y71" s="1">
        <v>354</v>
      </c>
      <c r="Z71" s="21">
        <v>500</v>
      </c>
      <c r="AA71" s="1" t="s">
        <v>11</v>
      </c>
      <c r="AB71" s="1" t="s">
        <v>10</v>
      </c>
      <c r="AC71" s="1" t="s">
        <v>23</v>
      </c>
      <c r="AD71" s="1">
        <v>662.91837700592305</v>
      </c>
      <c r="AE71" s="18">
        <f t="shared" si="11"/>
        <v>2086.8415187634664</v>
      </c>
      <c r="AF71" s="13">
        <v>2086.84</v>
      </c>
      <c r="AH71" s="1">
        <v>96</v>
      </c>
      <c r="AI71" s="2">
        <v>20000</v>
      </c>
      <c r="AJ71" s="1" t="s">
        <v>19</v>
      </c>
      <c r="AK71" s="1" t="s">
        <v>16</v>
      </c>
      <c r="AL71" s="1" t="s">
        <v>38</v>
      </c>
      <c r="AM71" s="1">
        <v>2667.83561475754</v>
      </c>
      <c r="AN71" s="18">
        <f t="shared" si="10"/>
        <v>8946.8663394544001</v>
      </c>
      <c r="AO71" s="13">
        <v>20000</v>
      </c>
    </row>
    <row r="72" spans="16:41" ht="30" x14ac:dyDescent="0.25">
      <c r="P72" s="1">
        <v>265</v>
      </c>
      <c r="Q72" s="1"/>
      <c r="R72" s="1" t="s">
        <v>9</v>
      </c>
      <c r="S72" s="1" t="s">
        <v>14</v>
      </c>
      <c r="T72" s="1"/>
      <c r="U72" s="6">
        <v>198.95773715714401</v>
      </c>
      <c r="V72" s="8">
        <f t="shared" si="9"/>
        <v>499.35379345688398</v>
      </c>
      <c r="W72" s="13">
        <v>499.35</v>
      </c>
      <c r="Y72" s="1">
        <v>356</v>
      </c>
      <c r="Z72" s="1"/>
      <c r="AA72" s="1" t="s">
        <v>11</v>
      </c>
      <c r="AB72" s="1" t="s">
        <v>16</v>
      </c>
      <c r="AC72" s="1" t="s">
        <v>15</v>
      </c>
      <c r="AD72" s="1">
        <v>187.01199880312001</v>
      </c>
      <c r="AE72" s="18">
        <f t="shared" si="11"/>
        <v>458.48025510475543</v>
      </c>
      <c r="AF72" s="13">
        <v>458.48</v>
      </c>
      <c r="AH72" s="1">
        <v>97</v>
      </c>
      <c r="AI72" s="2">
        <v>8000</v>
      </c>
      <c r="AJ72" s="1" t="s">
        <v>19</v>
      </c>
      <c r="AK72" s="1" t="s">
        <v>16</v>
      </c>
      <c r="AL72" s="1" t="s">
        <v>20</v>
      </c>
      <c r="AM72" s="1">
        <v>2709.8931250025898</v>
      </c>
      <c r="AN72" s="18">
        <f t="shared" si="10"/>
        <v>9090.7703165088624</v>
      </c>
      <c r="AO72" s="13">
        <v>8000</v>
      </c>
    </row>
    <row r="73" spans="16:41" ht="30" x14ac:dyDescent="0.25">
      <c r="P73" s="1">
        <v>266</v>
      </c>
      <c r="Q73" s="2">
        <v>1750</v>
      </c>
      <c r="R73" s="1" t="s">
        <v>9</v>
      </c>
      <c r="S73" s="1" t="s">
        <v>35</v>
      </c>
      <c r="T73" s="1"/>
      <c r="U73" s="6">
        <v>625.30961639195903</v>
      </c>
      <c r="V73" s="8">
        <f t="shared" si="9"/>
        <v>1958.1593834467271</v>
      </c>
      <c r="W73" s="13">
        <v>1750</v>
      </c>
      <c r="Y73" s="1">
        <v>357</v>
      </c>
      <c r="Z73" s="22">
        <v>7500</v>
      </c>
      <c r="AA73" s="1" t="s">
        <v>11</v>
      </c>
      <c r="AB73" s="1" t="s">
        <v>14</v>
      </c>
      <c r="AC73" s="1" t="s">
        <v>13</v>
      </c>
      <c r="AD73" s="1">
        <v>5760.9164783667302</v>
      </c>
      <c r="AE73" s="18">
        <f t="shared" si="11"/>
        <v>19530.151822379605</v>
      </c>
      <c r="AF73" s="13">
        <v>19530.150000000001</v>
      </c>
      <c r="AH73" s="1">
        <v>98</v>
      </c>
      <c r="AI73" s="1"/>
      <c r="AJ73" s="1" t="s">
        <v>19</v>
      </c>
      <c r="AK73" s="1" t="s">
        <v>16</v>
      </c>
      <c r="AL73" s="1" t="s">
        <v>40</v>
      </c>
      <c r="AM73" s="1">
        <v>423.04093417965902</v>
      </c>
      <c r="AN73" s="18">
        <f t="shared" si="10"/>
        <v>1266.0768603891213</v>
      </c>
      <c r="AO73" s="13">
        <v>1266.08</v>
      </c>
    </row>
    <row r="74" spans="16:41" ht="30" x14ac:dyDescent="0.25">
      <c r="P74" s="1">
        <v>267</v>
      </c>
      <c r="Q74" s="1"/>
      <c r="R74" s="1" t="s">
        <v>9</v>
      </c>
      <c r="S74" s="1" t="s">
        <v>16</v>
      </c>
      <c r="T74" s="1"/>
      <c r="U74" s="6">
        <v>3233.46826350744</v>
      </c>
      <c r="V74" s="8">
        <f t="shared" si="9"/>
        <v>10882.235010417058</v>
      </c>
      <c r="W74" s="13">
        <v>10882.24</v>
      </c>
      <c r="Y74" s="1">
        <v>358</v>
      </c>
      <c r="Z74" s="22">
        <v>3300</v>
      </c>
      <c r="AA74" s="1" t="s">
        <v>11</v>
      </c>
      <c r="AB74" s="1" t="s">
        <v>14</v>
      </c>
      <c r="AC74" s="1" t="s">
        <v>15</v>
      </c>
      <c r="AD74" s="1">
        <v>2246.0044029926598</v>
      </c>
      <c r="AE74" s="18">
        <f t="shared" si="11"/>
        <v>7503.5286652796858</v>
      </c>
      <c r="AF74" s="13">
        <v>7503.52</v>
      </c>
      <c r="AH74" s="1">
        <v>999</v>
      </c>
      <c r="AI74" s="1"/>
      <c r="AJ74" s="1" t="s">
        <v>19</v>
      </c>
      <c r="AK74" s="1" t="s">
        <v>14</v>
      </c>
      <c r="AL74" s="1" t="s">
        <v>22</v>
      </c>
      <c r="AM74" s="1">
        <v>406.33968679297101</v>
      </c>
      <c r="AN74" s="18">
        <f t="shared" si="10"/>
        <v>1208.9318723308295</v>
      </c>
      <c r="AO74" s="13">
        <v>1208.93</v>
      </c>
    </row>
    <row r="75" spans="16:41" ht="30" x14ac:dyDescent="0.25">
      <c r="P75" s="1">
        <v>268</v>
      </c>
      <c r="Q75" s="21">
        <v>80</v>
      </c>
      <c r="R75" s="1" t="s">
        <v>9</v>
      </c>
      <c r="S75" s="1" t="s">
        <v>12</v>
      </c>
      <c r="T75" s="1"/>
      <c r="U75" s="6">
        <v>383.71171974853701</v>
      </c>
      <c r="V75" s="8">
        <f t="shared" si="9"/>
        <v>1131.5080202915942</v>
      </c>
      <c r="W75" s="13">
        <v>1131.51</v>
      </c>
      <c r="Y75" s="1">
        <v>359</v>
      </c>
      <c r="Z75" s="21">
        <v>750</v>
      </c>
      <c r="AA75" s="1" t="s">
        <v>11</v>
      </c>
      <c r="AB75" s="1" t="s">
        <v>16</v>
      </c>
      <c r="AC75" s="1" t="s">
        <v>24</v>
      </c>
      <c r="AD75" s="1">
        <v>476.60448270551501</v>
      </c>
      <c r="AE75" s="18">
        <f t="shared" si="11"/>
        <v>1449.3498980251902</v>
      </c>
      <c r="AF75" s="13">
        <v>1449.35</v>
      </c>
      <c r="AH75" s="1">
        <v>1010</v>
      </c>
      <c r="AI75" s="1"/>
      <c r="AJ75" s="1" t="s">
        <v>19</v>
      </c>
      <c r="AK75" s="1" t="s">
        <v>12</v>
      </c>
      <c r="AL75" s="1" t="s">
        <v>20</v>
      </c>
      <c r="AM75" s="1">
        <v>99.646813778398297</v>
      </c>
      <c r="AN75" s="18">
        <f t="shared" ref="AN75:AN80" si="12">3.4216*AM75-181.4</f>
        <v>159.55153802416763</v>
      </c>
      <c r="AO75" s="13">
        <v>159.55000000000001</v>
      </c>
    </row>
    <row r="76" spans="16:41" ht="30" x14ac:dyDescent="0.25">
      <c r="P76" s="1">
        <v>269</v>
      </c>
      <c r="Q76" s="1"/>
      <c r="R76" s="1" t="s">
        <v>9</v>
      </c>
      <c r="S76" s="1" t="s">
        <v>16</v>
      </c>
      <c r="T76" s="1"/>
      <c r="U76" s="6">
        <v>1144.9523382730399</v>
      </c>
      <c r="V76" s="8">
        <f t="shared" si="9"/>
        <v>3736.1689206350334</v>
      </c>
      <c r="W76" s="13">
        <v>3736.17</v>
      </c>
      <c r="Y76" s="1">
        <v>360</v>
      </c>
      <c r="Z76" s="2">
        <v>2400</v>
      </c>
      <c r="AA76" s="1" t="s">
        <v>11</v>
      </c>
      <c r="AB76" s="1" t="s">
        <v>14</v>
      </c>
      <c r="AC76" s="1">
        <v>4</v>
      </c>
      <c r="AD76" s="1">
        <v>820.33143683869605</v>
      </c>
      <c r="AE76" s="18">
        <f t="shared" si="11"/>
        <v>2625.4460442872823</v>
      </c>
      <c r="AF76" s="13">
        <v>2400</v>
      </c>
      <c r="AH76" s="1">
        <v>1011</v>
      </c>
      <c r="AI76" s="1"/>
      <c r="AJ76" s="1" t="s">
        <v>19</v>
      </c>
      <c r="AK76" s="1" t="s">
        <v>14</v>
      </c>
      <c r="AL76" s="1" t="s">
        <v>15</v>
      </c>
      <c r="AM76" s="1">
        <v>45.599737434952402</v>
      </c>
      <c r="AN76" s="18">
        <f t="shared" si="12"/>
        <v>-25.375938392566866</v>
      </c>
      <c r="AO76" s="13">
        <v>45.6</v>
      </c>
    </row>
    <row r="77" spans="16:41" ht="30" x14ac:dyDescent="0.25">
      <c r="P77" s="1">
        <v>270</v>
      </c>
      <c r="Q77" s="1"/>
      <c r="R77" s="1" t="s">
        <v>9</v>
      </c>
      <c r="S77" s="1" t="s">
        <v>16</v>
      </c>
      <c r="T77" s="1"/>
      <c r="U77" s="6">
        <v>518.48327970338698</v>
      </c>
      <c r="V77" s="8">
        <f t="shared" si="9"/>
        <v>1592.6423898331088</v>
      </c>
      <c r="W77" s="13">
        <v>1592.64</v>
      </c>
      <c r="Y77" s="1">
        <v>361</v>
      </c>
      <c r="Z77" s="2">
        <v>1250</v>
      </c>
      <c r="AA77" s="1" t="s">
        <v>11</v>
      </c>
      <c r="AB77" s="1" t="s">
        <v>16</v>
      </c>
      <c r="AC77" s="1"/>
      <c r="AD77" s="1">
        <v>851.84290296933705</v>
      </c>
      <c r="AE77" s="18">
        <f t="shared" si="11"/>
        <v>2733.2656767998837</v>
      </c>
      <c r="AF77" s="13">
        <v>1250</v>
      </c>
      <c r="AH77" s="1">
        <v>1012</v>
      </c>
      <c r="AI77" s="1"/>
      <c r="AJ77" s="1" t="s">
        <v>19</v>
      </c>
      <c r="AK77" s="1" t="s">
        <v>12</v>
      </c>
      <c r="AL77" s="1" t="s">
        <v>21</v>
      </c>
      <c r="AM77" s="1">
        <v>136.190924569809</v>
      </c>
      <c r="AN77" s="18">
        <f t="shared" si="12"/>
        <v>284.59086750805852</v>
      </c>
      <c r="AO77" s="13">
        <v>284.58999999999997</v>
      </c>
    </row>
    <row r="78" spans="16:41" ht="30" x14ac:dyDescent="0.25">
      <c r="P78" s="1">
        <v>271</v>
      </c>
      <c r="Q78" s="1"/>
      <c r="R78" s="1" t="s">
        <v>9</v>
      </c>
      <c r="S78" s="1" t="s">
        <v>16</v>
      </c>
      <c r="T78" s="1"/>
      <c r="U78" s="6">
        <v>927.25680852571998</v>
      </c>
      <c r="V78" s="8">
        <f t="shared" si="9"/>
        <v>2991.3018960516038</v>
      </c>
      <c r="W78" s="13">
        <v>2991.3</v>
      </c>
      <c r="Y78" s="1">
        <v>362</v>
      </c>
      <c r="Z78" s="1"/>
      <c r="AA78" s="1" t="s">
        <v>11</v>
      </c>
      <c r="AB78" s="1" t="s">
        <v>14</v>
      </c>
      <c r="AC78" s="1" t="s">
        <v>23</v>
      </c>
      <c r="AD78" s="1">
        <v>161.08566878295099</v>
      </c>
      <c r="AE78" s="18">
        <f t="shared" si="11"/>
        <v>369.77072430774513</v>
      </c>
      <c r="AF78" s="13">
        <v>369.77</v>
      </c>
      <c r="AH78" s="1">
        <v>1013</v>
      </c>
      <c r="AI78" s="1"/>
      <c r="AJ78" s="1" t="s">
        <v>19</v>
      </c>
      <c r="AK78" s="1" t="s">
        <v>14</v>
      </c>
      <c r="AL78" s="1" t="s">
        <v>22</v>
      </c>
      <c r="AM78" s="1">
        <v>432.322127778729</v>
      </c>
      <c r="AN78" s="18">
        <f t="shared" si="12"/>
        <v>1297.8333924076992</v>
      </c>
      <c r="AO78" s="13">
        <v>1297.8399999999999</v>
      </c>
    </row>
    <row r="79" spans="16:41" ht="30" x14ac:dyDescent="0.25">
      <c r="P79" s="1">
        <v>272</v>
      </c>
      <c r="Q79" s="1"/>
      <c r="R79" s="1" t="s">
        <v>9</v>
      </c>
      <c r="S79" s="1" t="s">
        <v>12</v>
      </c>
      <c r="T79" s="1"/>
      <c r="U79" s="6">
        <v>197.576760165899</v>
      </c>
      <c r="V79" s="8">
        <f t="shared" si="9"/>
        <v>494.62864258364004</v>
      </c>
      <c r="W79" s="13">
        <v>494.62</v>
      </c>
      <c r="Y79" s="1">
        <v>365</v>
      </c>
      <c r="Z79" s="1"/>
      <c r="AA79" s="1" t="s">
        <v>11</v>
      </c>
      <c r="AB79" s="1" t="s">
        <v>14</v>
      </c>
      <c r="AC79" s="1" t="s">
        <v>23</v>
      </c>
      <c r="AD79" s="1">
        <v>507.04937955038002</v>
      </c>
      <c r="AE79" s="18">
        <f t="shared" si="11"/>
        <v>1553.5201570695804</v>
      </c>
      <c r="AF79" s="13">
        <v>1553.52</v>
      </c>
      <c r="AH79" s="1">
        <v>1014</v>
      </c>
      <c r="AI79" s="1"/>
      <c r="AJ79" s="1" t="s">
        <v>19</v>
      </c>
      <c r="AK79" s="1" t="s">
        <v>16</v>
      </c>
      <c r="AL79" s="1" t="s">
        <v>23</v>
      </c>
      <c r="AM79" s="1">
        <v>251.190268310177</v>
      </c>
      <c r="AN79" s="18">
        <f t="shared" si="12"/>
        <v>678.0726220501017</v>
      </c>
      <c r="AO79" s="13">
        <v>678.07</v>
      </c>
    </row>
    <row r="80" spans="16:41" ht="30" x14ac:dyDescent="0.25">
      <c r="P80" s="1">
        <v>273</v>
      </c>
      <c r="Q80" s="2">
        <v>6336</v>
      </c>
      <c r="R80" s="1" t="s">
        <v>9</v>
      </c>
      <c r="S80" s="1" t="s">
        <v>10</v>
      </c>
      <c r="T80" s="1"/>
      <c r="U80" s="6">
        <v>1957.01668159363</v>
      </c>
      <c r="V80" s="8">
        <f t="shared" si="9"/>
        <v>6514.7282777407654</v>
      </c>
      <c r="W80" s="13">
        <v>6336</v>
      </c>
      <c r="Y80" s="1">
        <v>366</v>
      </c>
      <c r="Z80" s="1">
        <v>600</v>
      </c>
      <c r="AA80" s="1" t="s">
        <v>11</v>
      </c>
      <c r="AB80" s="1" t="s">
        <v>16</v>
      </c>
      <c r="AC80" s="1"/>
      <c r="AD80" s="1">
        <v>247.60247580784801</v>
      </c>
      <c r="AE80" s="18">
        <f t="shared" si="11"/>
        <v>665.79663122413285</v>
      </c>
      <c r="AF80" s="13">
        <v>600</v>
      </c>
      <c r="AH80" s="1">
        <v>1015</v>
      </c>
      <c r="AI80" s="1"/>
      <c r="AJ80" s="1" t="s">
        <v>19</v>
      </c>
      <c r="AK80" s="1" t="s">
        <v>16</v>
      </c>
      <c r="AL80" s="1" t="s">
        <v>23</v>
      </c>
      <c r="AM80" s="10">
        <v>235.808460080819</v>
      </c>
      <c r="AN80" s="19">
        <f t="shared" si="12"/>
        <v>625.44222701253034</v>
      </c>
      <c r="AO80" s="15">
        <v>625.44000000000005</v>
      </c>
    </row>
    <row r="81" spans="16:41" ht="30" x14ac:dyDescent="0.25">
      <c r="P81" s="1">
        <v>274</v>
      </c>
      <c r="Q81" s="1"/>
      <c r="R81" s="1" t="s">
        <v>9</v>
      </c>
      <c r="S81" s="1" t="s">
        <v>17</v>
      </c>
      <c r="T81" s="1"/>
      <c r="U81" s="6">
        <v>512.84777669801099</v>
      </c>
      <c r="V81" s="8">
        <f t="shared" si="9"/>
        <v>1573.3599527499143</v>
      </c>
      <c r="W81" s="13">
        <v>1573.36</v>
      </c>
      <c r="Y81" s="1">
        <v>367</v>
      </c>
      <c r="Z81" s="22">
        <v>1500</v>
      </c>
      <c r="AA81" s="1" t="s">
        <v>11</v>
      </c>
      <c r="AB81" s="1" t="s">
        <v>16</v>
      </c>
      <c r="AC81" s="1" t="s">
        <v>21</v>
      </c>
      <c r="AD81" s="1">
        <v>1176.22909861689</v>
      </c>
      <c r="AE81" s="18">
        <f t="shared" si="11"/>
        <v>3843.1854838275513</v>
      </c>
      <c r="AF81" s="13">
        <v>3843.18</v>
      </c>
      <c r="AM81" s="20">
        <f>SUM(AM3:AM80)</f>
        <v>76114.546631059653</v>
      </c>
      <c r="AN81" s="20">
        <f>SUM(AN3:AN80)</f>
        <v>246284.33275283361</v>
      </c>
      <c r="AO81" s="13">
        <f>SUM(AO3:AO80)</f>
        <v>268090.66000000009</v>
      </c>
    </row>
    <row r="82" spans="16:41" ht="30" x14ac:dyDescent="0.25">
      <c r="P82" s="1">
        <v>279</v>
      </c>
      <c r="Q82" s="1"/>
      <c r="R82" s="1" t="s">
        <v>9</v>
      </c>
      <c r="S82" s="1" t="s">
        <v>16</v>
      </c>
      <c r="T82" s="1"/>
      <c r="U82" s="6">
        <v>492.401603499374</v>
      </c>
      <c r="V82" s="8">
        <f t="shared" si="9"/>
        <v>1503.4013265334581</v>
      </c>
      <c r="W82" s="13">
        <v>1503.4</v>
      </c>
      <c r="Y82" s="1">
        <v>368</v>
      </c>
      <c r="Z82" s="2">
        <v>7000</v>
      </c>
      <c r="AA82" s="1" t="s">
        <v>11</v>
      </c>
      <c r="AB82" s="1" t="s">
        <v>16</v>
      </c>
      <c r="AC82" s="1" t="s">
        <v>32</v>
      </c>
      <c r="AD82" s="1">
        <v>2887.2150305773398</v>
      </c>
      <c r="AE82" s="18">
        <f t="shared" si="11"/>
        <v>9697.4949486234273</v>
      </c>
      <c r="AF82" s="13">
        <v>7000</v>
      </c>
    </row>
    <row r="83" spans="16:41" ht="30" x14ac:dyDescent="0.25">
      <c r="P83" s="1">
        <v>280</v>
      </c>
      <c r="Q83" s="1"/>
      <c r="R83" s="1" t="s">
        <v>9</v>
      </c>
      <c r="S83" s="1" t="s">
        <v>10</v>
      </c>
      <c r="T83" s="1"/>
      <c r="U83" s="6">
        <v>1192.7636652326501</v>
      </c>
      <c r="V83" s="8">
        <f t="shared" si="9"/>
        <v>3899.7601569600356</v>
      </c>
      <c r="W83" s="13">
        <v>3899.76</v>
      </c>
      <c r="Y83" s="1">
        <v>369</v>
      </c>
      <c r="Z83" s="1"/>
      <c r="AA83" s="1" t="s">
        <v>11</v>
      </c>
      <c r="AB83" s="1" t="s">
        <v>10</v>
      </c>
      <c r="AC83" s="1" t="s">
        <v>13</v>
      </c>
      <c r="AD83" s="1">
        <v>118.42331580194799</v>
      </c>
      <c r="AE83" s="18">
        <f t="shared" si="11"/>
        <v>223.79721734794529</v>
      </c>
      <c r="AF83" s="13">
        <v>223.8</v>
      </c>
      <c r="AJ83" s="44"/>
      <c r="AK83" s="7" t="s">
        <v>54</v>
      </c>
      <c r="AL83" s="7" t="s">
        <v>97</v>
      </c>
      <c r="AM83" s="20" t="s">
        <v>96</v>
      </c>
      <c r="AN83" s="20" t="s">
        <v>98</v>
      </c>
    </row>
    <row r="84" spans="16:41" ht="30" x14ac:dyDescent="0.25">
      <c r="P84" s="1">
        <v>283</v>
      </c>
      <c r="Q84" s="1"/>
      <c r="R84" s="1" t="s">
        <v>9</v>
      </c>
      <c r="S84" s="1" t="s">
        <v>17</v>
      </c>
      <c r="T84" s="1"/>
      <c r="U84" s="6">
        <v>176.375627547542</v>
      </c>
      <c r="V84" s="8">
        <f t="shared" si="9"/>
        <v>422.08684721666975</v>
      </c>
      <c r="W84" s="13">
        <v>422.09</v>
      </c>
      <c r="Y84" s="1">
        <v>371</v>
      </c>
      <c r="Z84" s="1"/>
      <c r="AA84" s="1" t="s">
        <v>11</v>
      </c>
      <c r="AB84" s="1" t="s">
        <v>16</v>
      </c>
      <c r="AC84" s="1" t="s">
        <v>23</v>
      </c>
      <c r="AD84" s="1">
        <v>501.88830900170097</v>
      </c>
      <c r="AE84" s="18">
        <f t="shared" si="11"/>
        <v>1535.8610380802202</v>
      </c>
      <c r="AF84" s="13">
        <v>1535.86</v>
      </c>
      <c r="AJ84" s="20" t="s">
        <v>17</v>
      </c>
      <c r="AK84" s="20">
        <f>AM64+AM53+AM48+AM38+AM17</f>
        <v>1959.31195450989</v>
      </c>
      <c r="AL84" s="20">
        <f>AK84/AM81*100</f>
        <v>2.5741622872786896</v>
      </c>
      <c r="AM84" s="20">
        <f>AO64+AO53+AO48+AO38+AO17</f>
        <v>5793.4</v>
      </c>
      <c r="AN84" s="20">
        <f>AM84/AO81*100</f>
        <v>2.1609853920311872</v>
      </c>
    </row>
    <row r="85" spans="16:41" ht="30" x14ac:dyDescent="0.25">
      <c r="P85" s="1">
        <v>284</v>
      </c>
      <c r="Q85" s="1"/>
      <c r="R85" s="1" t="s">
        <v>9</v>
      </c>
      <c r="S85" s="1" t="s">
        <v>14</v>
      </c>
      <c r="T85" s="1"/>
      <c r="U85" s="6">
        <v>296.03342228457001</v>
      </c>
      <c r="V85" s="8">
        <f t="shared" si="9"/>
        <v>831.50795768888486</v>
      </c>
      <c r="W85" s="13">
        <v>831.51</v>
      </c>
      <c r="Y85" s="1">
        <v>372</v>
      </c>
      <c r="Z85" s="2">
        <v>1500</v>
      </c>
      <c r="AA85" s="1" t="s">
        <v>11</v>
      </c>
      <c r="AB85" s="1" t="s">
        <v>14</v>
      </c>
      <c r="AC85" s="1" t="s">
        <v>24</v>
      </c>
      <c r="AD85" s="1">
        <v>343.74059212641401</v>
      </c>
      <c r="AE85" s="18">
        <f t="shared" si="11"/>
        <v>994.74281001973839</v>
      </c>
      <c r="AF85" s="13">
        <v>1500</v>
      </c>
      <c r="AJ85" s="20" t="s">
        <v>14</v>
      </c>
      <c r="AK85" s="20">
        <f>AM78+AM76+AM74+AM51+AM49+AM45+AM44+AM43+AM41+AM35+AM34+AM33+AM28+AM26+AM24+AM23+AM21+AM14</f>
        <v>10406.332530137361</v>
      </c>
      <c r="AL85" s="20">
        <f>AK85/AM81*100</f>
        <v>13.671936562374404</v>
      </c>
      <c r="AM85" s="20">
        <f>AO78+AO76+AO74+AO51+AO49+AO45+AO44+AO43+AO41+AO35+AO34+AO33+AO28+AO26+AO24+AO23+AO21+AO14</f>
        <v>34748.329999999994</v>
      </c>
      <c r="AN85" s="20">
        <f>AM85/AO81*100</f>
        <v>12.961410143866997</v>
      </c>
    </row>
    <row r="86" spans="16:41" ht="30" x14ac:dyDescent="0.25">
      <c r="P86" s="1">
        <v>309</v>
      </c>
      <c r="Q86" s="1"/>
      <c r="R86" s="1" t="s">
        <v>9</v>
      </c>
      <c r="S86" s="1" t="s">
        <v>16</v>
      </c>
      <c r="T86" s="1"/>
      <c r="U86" s="6">
        <v>2975.4561913070902</v>
      </c>
      <c r="V86" s="8">
        <f t="shared" si="9"/>
        <v>9999.4209041763406</v>
      </c>
      <c r="W86" s="13">
        <v>9999.42</v>
      </c>
      <c r="Y86" s="1">
        <v>374</v>
      </c>
      <c r="Z86" s="2">
        <v>5000</v>
      </c>
      <c r="AA86" s="1" t="s">
        <v>11</v>
      </c>
      <c r="AB86" s="1" t="s">
        <v>12</v>
      </c>
      <c r="AC86" s="1" t="s">
        <v>21</v>
      </c>
      <c r="AD86" s="1">
        <v>1558.8690552309099</v>
      </c>
      <c r="AE86" s="18">
        <f t="shared" si="11"/>
        <v>5152.4263593780825</v>
      </c>
      <c r="AF86" s="13">
        <v>5000</v>
      </c>
      <c r="AJ86" s="20" t="s">
        <v>12</v>
      </c>
      <c r="AK86" s="20">
        <f>AM77+AM75+AM68+AM67+AM65+AM63+AM61+AM50+AM42+AM32+AM29+AM27+AM12+AM10+AM4</f>
        <v>6541.5332382087527</v>
      </c>
      <c r="AL86" s="20">
        <f>AK86/AM81*100</f>
        <v>8.5943272708654419</v>
      </c>
      <c r="AM86" s="20">
        <f>AO77+AO75+AO68+AO67+AO65+AO63+AO61+AO50+AO42+AO32+AO29+AO27+AO12+AO10+AO4</f>
        <v>17340.43</v>
      </c>
      <c r="AN86" s="20">
        <f>AM86/AO81*100</f>
        <v>6.4681216421340437</v>
      </c>
    </row>
    <row r="87" spans="16:41" ht="30" x14ac:dyDescent="0.25">
      <c r="P87" s="1">
        <v>315</v>
      </c>
      <c r="Q87" s="1"/>
      <c r="R87" s="1" t="s">
        <v>9</v>
      </c>
      <c r="S87" s="1" t="s">
        <v>10</v>
      </c>
      <c r="T87" s="1"/>
      <c r="U87" s="6">
        <v>579.93107385419501</v>
      </c>
      <c r="V87" s="8">
        <f t="shared" si="9"/>
        <v>1802.8921622995138</v>
      </c>
      <c r="W87" s="13">
        <v>1802.89</v>
      </c>
      <c r="Y87" s="1">
        <v>375</v>
      </c>
      <c r="Z87" s="1"/>
      <c r="AA87" s="1" t="s">
        <v>11</v>
      </c>
      <c r="AB87" s="1" t="s">
        <v>16</v>
      </c>
      <c r="AC87" s="1" t="s">
        <v>13</v>
      </c>
      <c r="AD87" s="1">
        <v>624.30449350892297</v>
      </c>
      <c r="AE87" s="18">
        <f t="shared" si="11"/>
        <v>1954.7202549901308</v>
      </c>
      <c r="AF87" s="13">
        <v>1954.72</v>
      </c>
      <c r="AJ87" s="20" t="s">
        <v>99</v>
      </c>
      <c r="AK87" s="20">
        <f>AM80+AM79+AM73+AM72+AM71+AM70+AM69+AM66+AM62+AM60+AM59+AM58+AM57+AM56+AM55+AM54+AM52+AM47+AM46+AM40+AM39+AM37+AM36+AM31+AM30+AM25+AM22+AM20+AM19+AM18+AM16+AM15+AM13+AM11+AM9+AM8+AM7+AM6+AM5+AM3</f>
        <v>57207.368908203593</v>
      </c>
      <c r="AL87" s="20">
        <f>AK87/AM81*100</f>
        <v>75.159573879481385</v>
      </c>
      <c r="AM87" s="20">
        <f>AO80+AO79+AO73+AO72+AO71+AO70+AO69+AO66+AO62+AO60+AO59+AO58+AO57+AO56+AO55+AO54+AO52+AO47+AO46+AO40+AO39+AO37+AO36+AO31+AO30+AO25+AO22+AO20+AO19+AO18+AO16+AO15+AO13+AO11+AO9+AO8+AO7+AO6+AO5+AO3</f>
        <v>210208.5</v>
      </c>
      <c r="AN87" s="20">
        <f>AM87/AO81*100</f>
        <v>78.409482821967742</v>
      </c>
    </row>
    <row r="88" spans="16:41" ht="30" x14ac:dyDescent="0.25">
      <c r="P88" s="1">
        <v>318</v>
      </c>
      <c r="Q88" s="1"/>
      <c r="R88" s="1" t="s">
        <v>9</v>
      </c>
      <c r="S88" s="1" t="s">
        <v>12</v>
      </c>
      <c r="T88" s="1"/>
      <c r="U88" s="6">
        <v>373.41338163217699</v>
      </c>
      <c r="V88" s="8">
        <f t="shared" si="9"/>
        <v>1096.2712265926568</v>
      </c>
      <c r="W88" s="13">
        <v>1096.27</v>
      </c>
      <c r="Y88" s="1">
        <v>376</v>
      </c>
      <c r="Z88" s="1"/>
      <c r="AA88" s="1" t="s">
        <v>11</v>
      </c>
      <c r="AB88" s="1" t="s">
        <v>16</v>
      </c>
      <c r="AC88" s="1" t="s">
        <v>20</v>
      </c>
      <c r="AD88" s="1">
        <v>1210.10213469415</v>
      </c>
      <c r="AE88" s="18">
        <f t="shared" si="11"/>
        <v>3959.0854640695038</v>
      </c>
      <c r="AF88" s="13">
        <v>3959.08</v>
      </c>
      <c r="AJ88" s="20" t="s">
        <v>43</v>
      </c>
      <c r="AK88" s="20">
        <f>SUM(AK84:AK87)</f>
        <v>76114.546631059595</v>
      </c>
      <c r="AL88" s="20">
        <f t="shared" ref="AL88:AN88" si="13">SUM(AL84:AL87)</f>
        <v>99.999999999999915</v>
      </c>
      <c r="AM88" s="20">
        <f t="shared" si="13"/>
        <v>268090.65999999997</v>
      </c>
      <c r="AN88" s="20">
        <f t="shared" si="13"/>
        <v>99.999999999999972</v>
      </c>
    </row>
    <row r="89" spans="16:41" ht="30" x14ac:dyDescent="0.25">
      <c r="P89" s="1">
        <v>85</v>
      </c>
      <c r="Q89" s="1"/>
      <c r="R89" s="1" t="s">
        <v>9</v>
      </c>
      <c r="S89" s="1" t="s">
        <v>12</v>
      </c>
      <c r="T89" s="1"/>
      <c r="U89" s="6">
        <v>102.23181344513</v>
      </c>
      <c r="V89" s="8">
        <f t="shared" si="9"/>
        <v>168.3963728838568</v>
      </c>
      <c r="W89" s="13">
        <v>168.39</v>
      </c>
      <c r="Y89" s="1">
        <v>377</v>
      </c>
      <c r="Z89" s="2">
        <v>1000</v>
      </c>
      <c r="AA89" s="1" t="s">
        <v>11</v>
      </c>
      <c r="AB89" s="1" t="s">
        <v>14</v>
      </c>
      <c r="AC89" s="1" t="s">
        <v>23</v>
      </c>
      <c r="AD89" s="1">
        <v>586.22766583701605</v>
      </c>
      <c r="AE89" s="18">
        <f t="shared" si="11"/>
        <v>1824.4365814279342</v>
      </c>
      <c r="AF89" s="13">
        <v>1000</v>
      </c>
    </row>
    <row r="90" spans="16:41" ht="30" x14ac:dyDescent="0.25">
      <c r="P90" s="1">
        <v>87</v>
      </c>
      <c r="Q90" s="2">
        <v>20000</v>
      </c>
      <c r="R90" s="1" t="s">
        <v>9</v>
      </c>
      <c r="S90" s="1" t="s">
        <v>16</v>
      </c>
      <c r="T90" s="1"/>
      <c r="U90" s="6">
        <v>5222.1367646298304</v>
      </c>
      <c r="V90" s="8">
        <f t="shared" si="9"/>
        <v>17686.663153857426</v>
      </c>
      <c r="W90" s="13">
        <v>20000</v>
      </c>
      <c r="Y90" s="1">
        <v>886</v>
      </c>
      <c r="Z90" s="2">
        <v>1000</v>
      </c>
      <c r="AA90" s="1" t="s">
        <v>11</v>
      </c>
      <c r="AB90" s="1" t="s">
        <v>12</v>
      </c>
      <c r="AC90" s="1" t="s">
        <v>15</v>
      </c>
      <c r="AD90" s="1">
        <v>878.96286849615603</v>
      </c>
      <c r="AE90" s="18">
        <f t="shared" si="11"/>
        <v>2826.0593508464476</v>
      </c>
      <c r="AF90" s="13">
        <v>1000</v>
      </c>
    </row>
    <row r="91" spans="16:41" ht="30" x14ac:dyDescent="0.25">
      <c r="P91" s="1">
        <v>88</v>
      </c>
      <c r="Q91" s="1"/>
      <c r="R91" s="1" t="s">
        <v>9</v>
      </c>
      <c r="S91" s="1" t="s">
        <v>14</v>
      </c>
      <c r="T91" s="1"/>
      <c r="U91" s="6">
        <v>2604.6582463350901</v>
      </c>
      <c r="V91" s="8">
        <f t="shared" si="9"/>
        <v>8730.698655660146</v>
      </c>
      <c r="W91" s="13">
        <v>8730.7000000000007</v>
      </c>
      <c r="Y91" s="1">
        <v>892</v>
      </c>
      <c r="Z91" s="1"/>
      <c r="AA91" s="1" t="s">
        <v>11</v>
      </c>
      <c r="AB91" s="1" t="s">
        <v>12</v>
      </c>
      <c r="AC91" s="1" t="s">
        <v>23</v>
      </c>
      <c r="AD91" s="1">
        <v>239.243096399628</v>
      </c>
      <c r="AE91" s="18">
        <f t="shared" si="11"/>
        <v>637.19417864096727</v>
      </c>
      <c r="AF91" s="13">
        <v>637.19000000000005</v>
      </c>
    </row>
    <row r="92" spans="16:41" ht="30" x14ac:dyDescent="0.25">
      <c r="P92" s="1">
        <v>893</v>
      </c>
      <c r="Q92" s="1"/>
      <c r="R92" s="1" t="s">
        <v>9</v>
      </c>
      <c r="S92" s="1" t="s">
        <v>12</v>
      </c>
      <c r="T92" s="1"/>
      <c r="U92" s="6">
        <v>53.249996169718898</v>
      </c>
      <c r="V92" s="8">
        <f t="shared" si="9"/>
        <v>0.80018689431017265</v>
      </c>
      <c r="W92" s="13">
        <v>53.25</v>
      </c>
      <c r="Y92" s="1">
        <v>894</v>
      </c>
      <c r="Z92" s="1"/>
      <c r="AA92" s="1" t="s">
        <v>11</v>
      </c>
      <c r="AB92" s="1" t="s">
        <v>14</v>
      </c>
      <c r="AC92" s="1" t="s">
        <v>13</v>
      </c>
      <c r="AD92" s="1">
        <v>283.16717731513103</v>
      </c>
      <c r="AE92" s="18">
        <f t="shared" si="11"/>
        <v>787.48481390145241</v>
      </c>
      <c r="AF92" s="13">
        <v>787.48</v>
      </c>
    </row>
    <row r="93" spans="16:41" ht="30" x14ac:dyDescent="0.25">
      <c r="P93" s="1">
        <v>90</v>
      </c>
      <c r="Q93" s="2">
        <v>22000</v>
      </c>
      <c r="R93" s="1" t="s">
        <v>9</v>
      </c>
      <c r="S93" s="1" t="s">
        <v>10</v>
      </c>
      <c r="T93" s="1"/>
      <c r="U93" s="6">
        <v>3787.5502930153498</v>
      </c>
      <c r="V93" s="8">
        <f t="shared" si="9"/>
        <v>12778.082082581323</v>
      </c>
      <c r="W93" s="13">
        <v>22000</v>
      </c>
      <c r="AD93">
        <f>SUM(AD3:AD92)</f>
        <v>112546.75091149268</v>
      </c>
      <c r="AE93">
        <f>SUM(AE3:AE92)</f>
        <v>368763.96291876346</v>
      </c>
      <c r="AF93" s="13">
        <f>SUM(AF3:AF92)</f>
        <v>349702.78</v>
      </c>
    </row>
    <row r="94" spans="16:41" ht="30" x14ac:dyDescent="0.25">
      <c r="P94" s="1">
        <v>91</v>
      </c>
      <c r="Q94" s="2">
        <v>10000</v>
      </c>
      <c r="R94" s="1" t="s">
        <v>9</v>
      </c>
      <c r="S94" s="1" t="s">
        <v>16</v>
      </c>
      <c r="T94" s="1"/>
      <c r="U94" s="6">
        <v>3564.9903723392699</v>
      </c>
      <c r="V94" s="8">
        <f t="shared" si="9"/>
        <v>12016.571057996047</v>
      </c>
      <c r="W94" s="13">
        <v>10000</v>
      </c>
    </row>
    <row r="95" spans="16:41" ht="30" x14ac:dyDescent="0.25">
      <c r="P95" s="1">
        <v>92</v>
      </c>
      <c r="Q95" s="22">
        <v>3000</v>
      </c>
      <c r="R95" s="1" t="s">
        <v>9</v>
      </c>
      <c r="S95" s="1" t="s">
        <v>16</v>
      </c>
      <c r="T95" s="1" t="s">
        <v>23</v>
      </c>
      <c r="U95" s="6">
        <v>1938.2691708944401</v>
      </c>
      <c r="V95" s="8">
        <f t="shared" si="9"/>
        <v>6450.581795132417</v>
      </c>
      <c r="W95" s="13">
        <v>6450.58</v>
      </c>
      <c r="AA95" s="7" t="s">
        <v>54</v>
      </c>
      <c r="AB95" s="7" t="s">
        <v>97</v>
      </c>
      <c r="AC95" s="8" t="s">
        <v>96</v>
      </c>
      <c r="AD95" s="8" t="s">
        <v>98</v>
      </c>
    </row>
    <row r="96" spans="16:41" ht="30" x14ac:dyDescent="0.25">
      <c r="P96" s="1">
        <v>93</v>
      </c>
      <c r="Q96" s="1"/>
      <c r="R96" s="1" t="s">
        <v>9</v>
      </c>
      <c r="S96" s="1" t="s">
        <v>17</v>
      </c>
      <c r="T96" s="1"/>
      <c r="U96" s="6">
        <v>160.41016252932999</v>
      </c>
      <c r="V96" s="8">
        <f t="shared" si="9"/>
        <v>367.45941211035552</v>
      </c>
      <c r="W96" s="13">
        <v>367.46</v>
      </c>
      <c r="Z96" s="8" t="s">
        <v>17</v>
      </c>
      <c r="AA96" s="8">
        <f>AD64+AD58+AD44+AD32+AD17+AD14+AD12</f>
        <v>8971.1826285411225</v>
      </c>
      <c r="AB96" s="8">
        <f>AA96/AD93*100</f>
        <v>7.9710720708375717</v>
      </c>
      <c r="AC96" s="8">
        <f>AF64+AF58+AF44+AF32+AF17+AF14+AF12</f>
        <v>35099.040000000001</v>
      </c>
      <c r="AD96" s="8">
        <f>AC96/AF93*100</f>
        <v>10.036820410749952</v>
      </c>
    </row>
    <row r="97" spans="16:30" ht="30" x14ac:dyDescent="0.25">
      <c r="P97" s="1">
        <v>99</v>
      </c>
      <c r="Q97" s="2">
        <v>10000</v>
      </c>
      <c r="R97" s="1" t="s">
        <v>9</v>
      </c>
      <c r="S97" s="1" t="s">
        <v>10</v>
      </c>
      <c r="T97" s="10"/>
      <c r="U97" s="16">
        <v>1673.5386132727899</v>
      </c>
      <c r="V97" s="11">
        <f t="shared" si="9"/>
        <v>5544.7797191741784</v>
      </c>
      <c r="W97" s="15">
        <v>10000</v>
      </c>
      <c r="Z97" s="8" t="s">
        <v>14</v>
      </c>
      <c r="AA97" s="8">
        <f>AD92+AD89+AD85+AD79+AD76+AD78+AD74+AD73+AD70+AD66+AD63+AD62+AD52+AD50+AD45+AD39+AD37+AD35+AD33+AD30+AD27+AD26+AD21+AD20+AD8+AD6+AD4</f>
        <v>22676.971785828402</v>
      </c>
      <c r="AB97" s="8">
        <f>AA97/AD93*100</f>
        <v>20.14893508890513</v>
      </c>
      <c r="AC97" s="8">
        <f>AF92+AF89+AF85+AF79+AF76+AF78+AF74+AF73+AF70+AF66+AF63+AF62+AF52+AF50+AF45+AF39+AF37+AF35+AF33+AF30+AF27+AF26+AF21+AF20+AF8+AF6+AF4</f>
        <v>72853.539999999994</v>
      </c>
      <c r="AD97" s="8">
        <f>AC97/AF93*100</f>
        <v>20.832988516705527</v>
      </c>
    </row>
    <row r="98" spans="16:30" x14ac:dyDescent="0.25">
      <c r="T98" s="8" t="s">
        <v>43</v>
      </c>
      <c r="U98" s="8">
        <f>SUM(U3:U97)</f>
        <v>116955.69763259776</v>
      </c>
      <c r="V98" s="8">
        <f t="shared" ref="V98:W98" si="14">SUM(V3:V97)</f>
        <v>382942.61501969665</v>
      </c>
      <c r="W98" s="13">
        <f t="shared" si="14"/>
        <v>400109.65000000008</v>
      </c>
      <c r="Z98" s="8" t="s">
        <v>12</v>
      </c>
      <c r="AA98" s="8">
        <f>AD91+AD90+AD86+AD49+AD46+AD18+AD9+AD5+AD3</f>
        <v>8190.5851817451567</v>
      </c>
      <c r="AB98" s="8">
        <f>AA98/AD93*100</f>
        <v>7.2774958987365812</v>
      </c>
      <c r="AC98" s="8">
        <f>AF91+AF90+AF86+AF49+AF46+AF18+AF9+AF5+AF3</f>
        <v>24454.65</v>
      </c>
      <c r="AD98" s="8">
        <f>AC98/AF93*100</f>
        <v>6.992981296860151</v>
      </c>
    </row>
    <row r="99" spans="16:30" x14ac:dyDescent="0.25">
      <c r="Z99" s="8" t="s">
        <v>99</v>
      </c>
      <c r="AA99" s="8">
        <f>AD88+AD87+AD84+AD83+AD82+AD81+AD80+AD75+AD77+AD72+AD71+AD68+AD67+AD65+AD61+AD60+AD59+AD57+AD56+AD55+AD54+AD53+AD51+AD48+AD47+AD42+AD40+AD38+AD36+AD34+AD31+AD29+AD28+AD25+AD24+AD23+AD22+AD19+AD16+AD15+AD13+AD69+AD11+AD10+AD7</f>
        <v>64213.069010405445</v>
      </c>
      <c r="AB99" s="8">
        <f>AA99/AD93*100</f>
        <v>57.054573757444956</v>
      </c>
      <c r="AC99" s="8">
        <f>AF88+AF87+AF84+AF83+AF82+AF81+AF80+AF75+AF77+AF72+AF71+AF68+AF67+AF65+AF61+AF60+AF59+AF57+AF56+AF55+AF54+AF53+AF51+AF48+AF47+AF42+AF40+AF38+AF36+AF34+AF31+AF29+AF28+AF25+AF24+AF23+AF22+AF19+AF16+AF15+AF13+AF69+AF11+AF10+AF7</f>
        <v>194153.68000000002</v>
      </c>
      <c r="AD99" s="8">
        <f>AC99/AF93*100</f>
        <v>55.519627267475549</v>
      </c>
    </row>
    <row r="100" spans="16:30" x14ac:dyDescent="0.25">
      <c r="Z100" s="20" t="s">
        <v>100</v>
      </c>
      <c r="AA100" s="8">
        <f>AD43+AD41</f>
        <v>8494.942304972541</v>
      </c>
      <c r="AB100" s="8">
        <f>AA100/AD93*100</f>
        <v>7.5479231840757501</v>
      </c>
      <c r="AC100" s="8">
        <f>AF43+AF41</f>
        <v>23141.87</v>
      </c>
      <c r="AD100" s="8">
        <f>AC100/AF93*100</f>
        <v>6.6175825082088275</v>
      </c>
    </row>
    <row r="101" spans="16:30" x14ac:dyDescent="0.25">
      <c r="Z101" s="41" t="s">
        <v>43</v>
      </c>
      <c r="AA101" s="11">
        <f>SUM(AA96:AA100)</f>
        <v>112546.75091149267</v>
      </c>
      <c r="AB101" s="11">
        <f t="shared" ref="AB101:AD101" si="15">SUM(AB96:AB100)</f>
        <v>100</v>
      </c>
      <c r="AC101" s="11">
        <f t="shared" si="15"/>
        <v>349702.78</v>
      </c>
      <c r="AD101" s="11">
        <f t="shared" si="15"/>
        <v>100.00000000000001</v>
      </c>
    </row>
    <row r="102" spans="16:30" ht="30" x14ac:dyDescent="0.25">
      <c r="R102" s="7" t="s">
        <v>54</v>
      </c>
      <c r="S102" s="7" t="s">
        <v>97</v>
      </c>
      <c r="T102" s="8" t="s">
        <v>96</v>
      </c>
      <c r="U102" s="8" t="s">
        <v>98</v>
      </c>
      <c r="Z102" s="42"/>
      <c r="AA102" s="43"/>
      <c r="AB102" s="43"/>
      <c r="AC102" s="43"/>
      <c r="AD102" s="43"/>
    </row>
    <row r="103" spans="16:30" x14ac:dyDescent="0.25">
      <c r="Q103" s="8" t="s">
        <v>17</v>
      </c>
      <c r="R103" s="8">
        <f>U96+U84+U81+U43+U5</f>
        <v>1295.2989964107246</v>
      </c>
      <c r="S103" s="8">
        <f>R103/U98*100</f>
        <v>1.1075125219463446</v>
      </c>
      <c r="T103" s="8">
        <f>W96+W84+W81+W5+W43</f>
        <v>3662.2299999999996</v>
      </c>
      <c r="U103" s="8">
        <f>T103/W98*100</f>
        <v>0.9153065915805827</v>
      </c>
    </row>
    <row r="104" spans="16:30" x14ac:dyDescent="0.25">
      <c r="Q104" s="8" t="s">
        <v>14</v>
      </c>
      <c r="R104" s="8">
        <f>U91+U85+U66+U49+U24+U22+U6+U72</f>
        <v>9059.1715133071557</v>
      </c>
      <c r="S104" s="8">
        <f>R104/U98*100</f>
        <v>7.7458146090201199</v>
      </c>
      <c r="T104" s="8">
        <f>W91+W85+W66+W49+W24+W22+W6+W72</f>
        <v>27785.57</v>
      </c>
      <c r="U104" s="8">
        <f>T104/W98*100</f>
        <v>6.9444888419961863</v>
      </c>
    </row>
    <row r="105" spans="16:30" x14ac:dyDescent="0.25">
      <c r="Q105" s="8" t="s">
        <v>12</v>
      </c>
      <c r="R105" s="8">
        <f>U92+U89+U88+U79+U75+U71+U69+U65+U64+U57+U55+U47+U45+U39+U37+U19+U11+U10+U7</f>
        <v>7986.7085967979219</v>
      </c>
      <c r="S105" s="8">
        <f>R105/U98*100</f>
        <v>6.8288324198511523</v>
      </c>
      <c r="T105" s="8">
        <f>W92+W89+W88+W79+W75+W71+W69+W65+W64+W57+W55+W47+W45+W39+W37+W19+W11+W10+W7</f>
        <v>22766.040000000005</v>
      </c>
      <c r="U105" s="8">
        <f>T105/W98*100</f>
        <v>5.6899502423898047</v>
      </c>
    </row>
    <row r="106" spans="16:30" x14ac:dyDescent="0.25">
      <c r="Q106" s="8" t="s">
        <v>99</v>
      </c>
      <c r="R106" s="8">
        <f>U97+U95+U94+U93+U90+U87+U86+U83+U82+U80+U78+U77+U76+U74+U70+U68+U63+U62+U61+U60+U59+U58+U56+U54+U53+U52+U51+U50+U48+U46+U44+U42+U41+U40+U38+U36+U35+U34+U33+U32+U30+U29+U28+U27+U26+U25+U23+U21+U20+U18+U17+U16+U15+U14+U13+U12+U9+U8+U4+U3</f>
        <v>87305.76702988561</v>
      </c>
      <c r="S106" s="8">
        <f>R106/U98*100</f>
        <v>74.648579587927529</v>
      </c>
      <c r="T106" s="8">
        <f>W97+W95+W94+W93+W90+W87+W86+W83+W82+W80+W78+W77+W76+W74+W70+W68+W63+W62+W61+W60+W59+W58+W56+W54+W53+W52+W51+W50+W48+W46+W44+W42+W41+W40+W38+W36+W35+W34+W33+W32+W30+W29+W28+W27+W26+W25+W23+W21+W20+W18+W17+W16+W15+W14+W13+W12+W9+W8+W4+W3</f>
        <v>311945.81</v>
      </c>
      <c r="U106" s="8">
        <f>T106/W98*100</f>
        <v>77.965080322356613</v>
      </c>
    </row>
    <row r="107" spans="16:30" x14ac:dyDescent="0.25">
      <c r="Q107" s="20" t="s">
        <v>100</v>
      </c>
      <c r="R107" s="8">
        <f>U31</f>
        <v>9702.7901081508899</v>
      </c>
      <c r="S107" s="8">
        <f>R107/U98*100</f>
        <v>8.2961243484101441</v>
      </c>
      <c r="T107" s="8">
        <f>W31</f>
        <v>31000</v>
      </c>
      <c r="U107" s="8">
        <f>T107/W98*100</f>
        <v>7.7478761134603964</v>
      </c>
    </row>
    <row r="108" spans="16:30" x14ac:dyDescent="0.25">
      <c r="Q108" s="40" t="s">
        <v>35</v>
      </c>
      <c r="R108" s="8">
        <f>U73</f>
        <v>625.30961639195903</v>
      </c>
      <c r="S108" s="8">
        <f>R108/U98*100</f>
        <v>0.53465511219153583</v>
      </c>
      <c r="T108" s="8">
        <f>W73</f>
        <v>1750</v>
      </c>
      <c r="U108" s="8">
        <f>T108/W98*100</f>
        <v>0.43738010317921594</v>
      </c>
    </row>
    <row r="109" spans="16:30" x14ac:dyDescent="0.25">
      <c r="Q109" s="20" t="s">
        <v>34</v>
      </c>
      <c r="R109" s="8">
        <f>U67</f>
        <v>980.65177165355306</v>
      </c>
      <c r="S109" s="8">
        <f>R109/U98*100</f>
        <v>0.83848140065322219</v>
      </c>
      <c r="T109" s="8">
        <f>W67</f>
        <v>1200</v>
      </c>
      <c r="U109" s="8">
        <f>T109/W98*100</f>
        <v>0.29991778503717659</v>
      </c>
    </row>
    <row r="110" spans="16:30" x14ac:dyDescent="0.25">
      <c r="Q110" s="20" t="s">
        <v>43</v>
      </c>
      <c r="R110" s="8">
        <f>SUM(R103:R109)</f>
        <v>116955.69763259782</v>
      </c>
      <c r="S110" s="8">
        <f>SUM(S103:S109)</f>
        <v>100.00000000000004</v>
      </c>
      <c r="T110" s="8">
        <f t="shared" ref="T110:U110" si="16">SUM(T103:T109)</f>
        <v>400109.65</v>
      </c>
      <c r="U110" s="8">
        <f t="shared" si="16"/>
        <v>99.999999999999986</v>
      </c>
    </row>
  </sheetData>
  <autoFilter ref="S1:S110"/>
  <mergeCells count="4">
    <mergeCell ref="G1:N1"/>
    <mergeCell ref="P1:W1"/>
    <mergeCell ref="Y1:AF1"/>
    <mergeCell ref="AH1:A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4"/>
  <sheetViews>
    <sheetView topLeftCell="T61" workbookViewId="0">
      <selection activeCell="Q15" sqref="Q15"/>
    </sheetView>
  </sheetViews>
  <sheetFormatPr baseColWidth="10" defaultRowHeight="15" x14ac:dyDescent="0.25"/>
  <cols>
    <col min="7" max="7" width="16.28515625" customWidth="1"/>
  </cols>
  <sheetData>
    <row r="1" spans="1:35" x14ac:dyDescent="0.25">
      <c r="A1" s="59" t="s">
        <v>51</v>
      </c>
      <c r="B1" s="59"/>
      <c r="C1" s="59"/>
      <c r="D1" s="59"/>
      <c r="E1" s="59"/>
      <c r="F1" s="59"/>
      <c r="G1" s="59"/>
      <c r="H1" s="59"/>
      <c r="J1" s="60" t="s">
        <v>52</v>
      </c>
      <c r="K1" s="60"/>
      <c r="L1" s="60"/>
      <c r="M1" s="60"/>
      <c r="N1" s="60"/>
      <c r="O1" s="60"/>
      <c r="P1" s="60"/>
      <c r="Q1" s="60"/>
      <c r="S1" s="60" t="s">
        <v>52</v>
      </c>
      <c r="T1" s="60"/>
      <c r="U1" s="60"/>
      <c r="V1" s="60"/>
      <c r="W1" s="60"/>
      <c r="X1" s="60"/>
      <c r="Y1" s="60"/>
      <c r="Z1" s="60"/>
      <c r="AB1" s="60" t="s">
        <v>52</v>
      </c>
      <c r="AC1" s="60"/>
      <c r="AD1" s="60"/>
      <c r="AE1" s="60"/>
      <c r="AF1" s="60"/>
      <c r="AG1" s="60"/>
      <c r="AH1" s="60"/>
      <c r="AI1" s="60"/>
    </row>
    <row r="2" spans="1:35" ht="28.9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7" t="s">
        <v>41</v>
      </c>
      <c r="H2" s="12" t="s">
        <v>44</v>
      </c>
      <c r="J2" s="1" t="s">
        <v>0</v>
      </c>
      <c r="K2" s="1" t="s">
        <v>1</v>
      </c>
      <c r="L2" s="1" t="s">
        <v>55</v>
      </c>
      <c r="M2" s="1" t="s">
        <v>3</v>
      </c>
      <c r="N2" s="1" t="s">
        <v>53</v>
      </c>
      <c r="O2" s="1" t="s">
        <v>54</v>
      </c>
      <c r="P2" s="7" t="s">
        <v>41</v>
      </c>
      <c r="Q2" s="12" t="s">
        <v>44</v>
      </c>
      <c r="S2" s="1" t="s">
        <v>0</v>
      </c>
      <c r="T2" s="1" t="s">
        <v>1</v>
      </c>
      <c r="U2" s="1" t="s">
        <v>57</v>
      </c>
      <c r="V2" s="1" t="s">
        <v>58</v>
      </c>
      <c r="W2" s="1" t="s">
        <v>53</v>
      </c>
      <c r="X2" s="1" t="s">
        <v>54</v>
      </c>
      <c r="Y2" s="7" t="s">
        <v>41</v>
      </c>
      <c r="Z2" s="12" t="s">
        <v>44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4</v>
      </c>
      <c r="AG2" s="6" t="s">
        <v>54</v>
      </c>
      <c r="AH2" s="7" t="s">
        <v>41</v>
      </c>
      <c r="AI2" s="27" t="s">
        <v>44</v>
      </c>
    </row>
    <row r="3" spans="1:35" ht="28.9" x14ac:dyDescent="0.3">
      <c r="A3" s="1">
        <v>10</v>
      </c>
      <c r="B3" s="2">
        <v>380000</v>
      </c>
      <c r="C3" s="1" t="s">
        <v>6</v>
      </c>
      <c r="D3" s="1" t="s">
        <v>7</v>
      </c>
      <c r="E3" s="1" t="s">
        <v>8</v>
      </c>
      <c r="F3" s="1">
        <v>66412.282670603206</v>
      </c>
      <c r="G3" s="8">
        <f>3.4216*F3-181.4</f>
        <v>227054.86638573595</v>
      </c>
      <c r="H3" s="14">
        <v>380000</v>
      </c>
      <c r="J3" s="1">
        <v>464</v>
      </c>
      <c r="K3" s="1">
        <v>900</v>
      </c>
      <c r="L3" s="1" t="s">
        <v>56</v>
      </c>
      <c r="M3" s="1"/>
      <c r="N3" s="1"/>
      <c r="O3" s="1">
        <v>1041.1768141299499</v>
      </c>
      <c r="P3" s="8">
        <f>3.4216*O3-181.4</f>
        <v>3381.0905872270368</v>
      </c>
      <c r="Q3" s="13">
        <v>900</v>
      </c>
      <c r="S3" s="1">
        <v>456</v>
      </c>
      <c r="T3" s="1"/>
      <c r="U3" s="1" t="s">
        <v>59</v>
      </c>
      <c r="V3" s="1"/>
      <c r="W3" s="1" t="s">
        <v>13</v>
      </c>
      <c r="X3" s="1">
        <v>253.50321644360699</v>
      </c>
      <c r="Y3" s="8">
        <f>3.4216*X3-181.4</f>
        <v>685.98660538344575</v>
      </c>
      <c r="Z3" s="13">
        <v>689.99</v>
      </c>
      <c r="AB3" s="1">
        <v>29</v>
      </c>
      <c r="AC3" s="22">
        <v>13000</v>
      </c>
      <c r="AD3" s="1" t="s">
        <v>61</v>
      </c>
      <c r="AE3" s="1"/>
      <c r="AF3" s="1"/>
      <c r="AG3" s="6">
        <v>1718.3459531476899</v>
      </c>
      <c r="AH3" s="26">
        <f>3.4216*AG3-181.4</f>
        <v>5698.0925132901366</v>
      </c>
      <c r="AI3" s="27">
        <v>5698.09</v>
      </c>
    </row>
    <row r="4" spans="1:35" ht="28.9" x14ac:dyDescent="0.3">
      <c r="A4" s="1">
        <v>1028</v>
      </c>
      <c r="B4" s="1"/>
      <c r="C4" s="1" t="s">
        <v>6</v>
      </c>
      <c r="D4" s="1" t="s">
        <v>12</v>
      </c>
      <c r="E4" s="1" t="s">
        <v>15</v>
      </c>
      <c r="F4" s="1">
        <v>63.847175219419398</v>
      </c>
      <c r="G4" s="8">
        <f t="shared" ref="G4:G37" si="0">3.4216*F4-181.4</f>
        <v>37.059494730765408</v>
      </c>
      <c r="H4" s="13">
        <v>63.85</v>
      </c>
      <c r="J4" s="1">
        <v>490</v>
      </c>
      <c r="K4" s="1"/>
      <c r="L4" s="1" t="s">
        <v>56</v>
      </c>
      <c r="M4" s="1"/>
      <c r="N4" s="1"/>
      <c r="O4" s="1">
        <v>165.87390179712401</v>
      </c>
      <c r="P4" s="8">
        <f t="shared" ref="P4:P49" si="1">3.4216*O4-181.4</f>
        <v>386.15414238903952</v>
      </c>
      <c r="Q4" s="13">
        <v>386.15</v>
      </c>
      <c r="S4" s="1">
        <v>457</v>
      </c>
      <c r="T4" s="1"/>
      <c r="U4" s="1" t="s">
        <v>59</v>
      </c>
      <c r="V4" s="1"/>
      <c r="W4" s="1"/>
      <c r="X4" s="1">
        <v>139.81638482484601</v>
      </c>
      <c r="Y4" s="8">
        <f t="shared" ref="Y4:Y23" si="2">3.4216*X4-181.4</f>
        <v>296.99574231669317</v>
      </c>
      <c r="Z4" s="13">
        <v>297</v>
      </c>
      <c r="AB4" s="1">
        <v>379</v>
      </c>
      <c r="AC4" s="2">
        <v>25000</v>
      </c>
      <c r="AD4" s="1" t="s">
        <v>61</v>
      </c>
      <c r="AE4" s="1"/>
      <c r="AF4" s="1"/>
      <c r="AG4" s="6">
        <v>6016.4075221236599</v>
      </c>
      <c r="AH4" s="26">
        <f t="shared" ref="AH4:AH63" si="3">3.4216*AG4-181.4</f>
        <v>20404.339977698313</v>
      </c>
      <c r="AI4" s="27">
        <v>25000</v>
      </c>
    </row>
    <row r="5" spans="1:35" ht="28.9" x14ac:dyDescent="0.3">
      <c r="A5" s="1">
        <v>1029</v>
      </c>
      <c r="B5" s="1"/>
      <c r="C5" s="1" t="s">
        <v>6</v>
      </c>
      <c r="D5" s="1" t="s">
        <v>12</v>
      </c>
      <c r="E5" s="1" t="s">
        <v>15</v>
      </c>
      <c r="F5" s="1">
        <v>78.522765435954994</v>
      </c>
      <c r="G5" s="8">
        <f t="shared" si="0"/>
        <v>87.273494215663646</v>
      </c>
      <c r="H5" s="13">
        <v>87.27</v>
      </c>
      <c r="J5" s="1">
        <v>491</v>
      </c>
      <c r="K5" s="1"/>
      <c r="L5" s="1" t="s">
        <v>56</v>
      </c>
      <c r="M5" s="1"/>
      <c r="N5" s="1"/>
      <c r="O5" s="1">
        <v>257.83645089588902</v>
      </c>
      <c r="P5" s="8">
        <f t="shared" si="1"/>
        <v>700.81320038537388</v>
      </c>
      <c r="Q5" s="13">
        <v>700.81</v>
      </c>
      <c r="S5" s="1">
        <v>458</v>
      </c>
      <c r="T5" s="1"/>
      <c r="U5" s="1" t="s">
        <v>59</v>
      </c>
      <c r="V5" s="1"/>
      <c r="W5" s="1" t="s">
        <v>13</v>
      </c>
      <c r="X5" s="1">
        <v>554.83115145369095</v>
      </c>
      <c r="Y5" s="8">
        <f t="shared" si="2"/>
        <v>1717.010267813949</v>
      </c>
      <c r="Z5" s="13">
        <v>1717.01</v>
      </c>
      <c r="AB5" s="1">
        <v>392</v>
      </c>
      <c r="AC5" s="21">
        <v>700</v>
      </c>
      <c r="AD5" s="1" t="s">
        <v>61</v>
      </c>
      <c r="AE5" s="1"/>
      <c r="AF5" s="1"/>
      <c r="AG5" s="6">
        <v>467.24032240082499</v>
      </c>
      <c r="AH5" s="26">
        <f t="shared" si="3"/>
        <v>1417.3094871266628</v>
      </c>
      <c r="AI5" s="27">
        <v>1417.31</v>
      </c>
    </row>
    <row r="6" spans="1:35" ht="28.9" x14ac:dyDescent="0.3">
      <c r="A6" s="1">
        <v>1030</v>
      </c>
      <c r="B6" s="1"/>
      <c r="C6" s="1" t="s">
        <v>6</v>
      </c>
      <c r="D6" s="1" t="s">
        <v>14</v>
      </c>
      <c r="E6" s="1" t="s">
        <v>20</v>
      </c>
      <c r="F6" s="1">
        <v>166.59772134109801</v>
      </c>
      <c r="G6" s="8">
        <f t="shared" si="0"/>
        <v>388.63076334070104</v>
      </c>
      <c r="H6" s="13">
        <v>388.63</v>
      </c>
      <c r="J6" s="1">
        <v>492</v>
      </c>
      <c r="K6" s="2">
        <v>6000</v>
      </c>
      <c r="L6" s="1" t="s">
        <v>56</v>
      </c>
      <c r="M6" s="2"/>
      <c r="N6" s="1">
        <v>7</v>
      </c>
      <c r="O6" s="1">
        <v>1657.89275489179</v>
      </c>
      <c r="P6" s="8">
        <f t="shared" si="1"/>
        <v>5491.2458501377496</v>
      </c>
      <c r="Q6" s="13">
        <v>6000</v>
      </c>
      <c r="S6" s="1">
        <v>459</v>
      </c>
      <c r="T6" s="2">
        <v>3500</v>
      </c>
      <c r="U6" s="1" t="s">
        <v>59</v>
      </c>
      <c r="V6" s="2"/>
      <c r="W6" s="1"/>
      <c r="X6" s="1">
        <v>684.20721798008196</v>
      </c>
      <c r="Y6" s="8">
        <f t="shared" si="2"/>
        <v>2159.6834170406487</v>
      </c>
      <c r="Z6" s="13">
        <v>3500</v>
      </c>
      <c r="AB6" s="1">
        <v>393</v>
      </c>
      <c r="AC6" s="1"/>
      <c r="AD6" s="1" t="s">
        <v>61</v>
      </c>
      <c r="AE6" s="1"/>
      <c r="AF6" s="1"/>
      <c r="AG6" s="6">
        <v>3531.3659329377101</v>
      </c>
      <c r="AH6" s="26">
        <f t="shared" si="3"/>
        <v>11901.52167613967</v>
      </c>
      <c r="AI6" s="27">
        <v>11901.52</v>
      </c>
    </row>
    <row r="7" spans="1:35" ht="28.9" x14ac:dyDescent="0.3">
      <c r="A7" s="1">
        <v>1031</v>
      </c>
      <c r="B7" s="1"/>
      <c r="C7" s="1" t="s">
        <v>6</v>
      </c>
      <c r="D7" s="1" t="s">
        <v>14</v>
      </c>
      <c r="E7" s="1" t="s">
        <v>22</v>
      </c>
      <c r="F7" s="1">
        <v>95.549118334644305</v>
      </c>
      <c r="G7" s="8">
        <f t="shared" si="0"/>
        <v>145.53086329381895</v>
      </c>
      <c r="H7" s="13">
        <v>145.53</v>
      </c>
      <c r="J7" s="1">
        <v>495</v>
      </c>
      <c r="K7" s="21">
        <v>420</v>
      </c>
      <c r="L7" s="1" t="s">
        <v>56</v>
      </c>
      <c r="M7" s="1"/>
      <c r="N7" s="1">
        <v>1.8</v>
      </c>
      <c r="O7" s="1">
        <v>538.24218502292001</v>
      </c>
      <c r="P7" s="8">
        <f t="shared" si="1"/>
        <v>1660.2494602744232</v>
      </c>
      <c r="Q7" s="13">
        <v>1660.25</v>
      </c>
      <c r="S7" s="1">
        <v>461</v>
      </c>
      <c r="T7" s="22">
        <v>1300</v>
      </c>
      <c r="U7" s="1" t="s">
        <v>59</v>
      </c>
      <c r="V7" s="2"/>
      <c r="W7" s="1">
        <v>3</v>
      </c>
      <c r="X7" s="1">
        <v>444.046587845364</v>
      </c>
      <c r="Y7" s="8">
        <f t="shared" si="2"/>
        <v>1337.9498049716974</v>
      </c>
      <c r="Z7" s="13">
        <v>1337.95</v>
      </c>
      <c r="AB7" s="1">
        <v>395</v>
      </c>
      <c r="AC7" s="22">
        <v>6400</v>
      </c>
      <c r="AD7" s="1" t="s">
        <v>61</v>
      </c>
      <c r="AE7" s="1"/>
      <c r="AF7" s="1"/>
      <c r="AG7" s="6">
        <v>4152.2996889577498</v>
      </c>
      <c r="AH7" s="26">
        <f t="shared" si="3"/>
        <v>14026.108615737838</v>
      </c>
      <c r="AI7" s="27">
        <v>14026.11</v>
      </c>
    </row>
    <row r="8" spans="1:35" ht="28.9" x14ac:dyDescent="0.3">
      <c r="A8" s="1">
        <v>1032</v>
      </c>
      <c r="B8" s="1"/>
      <c r="C8" s="1" t="s">
        <v>6</v>
      </c>
      <c r="D8" s="1" t="s">
        <v>16</v>
      </c>
      <c r="E8" s="1" t="s">
        <v>22</v>
      </c>
      <c r="F8" s="1">
        <v>160.90355699256199</v>
      </c>
      <c r="G8" s="8">
        <f t="shared" si="0"/>
        <v>369.14761060575017</v>
      </c>
      <c r="H8" s="13">
        <v>369.15</v>
      </c>
      <c r="J8" s="1">
        <v>496</v>
      </c>
      <c r="K8" s="2">
        <v>1020</v>
      </c>
      <c r="L8" s="1" t="s">
        <v>56</v>
      </c>
      <c r="M8" s="2"/>
      <c r="N8" s="1">
        <v>2</v>
      </c>
      <c r="O8" s="1">
        <v>669.03814238120901</v>
      </c>
      <c r="P8" s="8">
        <f t="shared" si="1"/>
        <v>2107.7809079715448</v>
      </c>
      <c r="Q8" s="13">
        <v>1020</v>
      </c>
      <c r="S8" s="1">
        <v>462</v>
      </c>
      <c r="T8" s="1"/>
      <c r="U8" s="1" t="s">
        <v>59</v>
      </c>
      <c r="V8" s="1"/>
      <c r="W8" s="1"/>
      <c r="X8" s="1">
        <v>315.76772836723597</v>
      </c>
      <c r="Y8" s="8">
        <f t="shared" si="2"/>
        <v>899.03085938133461</v>
      </c>
      <c r="Z8" s="13">
        <v>899.03</v>
      </c>
      <c r="AB8" s="1">
        <v>399</v>
      </c>
      <c r="AC8" s="1"/>
      <c r="AD8" s="1" t="s">
        <v>61</v>
      </c>
      <c r="AE8" s="1"/>
      <c r="AF8" s="1"/>
      <c r="AG8" s="6">
        <v>1579.6595970011099</v>
      </c>
      <c r="AH8" s="26">
        <f t="shared" si="3"/>
        <v>5223.5632770989987</v>
      </c>
      <c r="AI8" s="27">
        <v>5223.5600000000004</v>
      </c>
    </row>
    <row r="9" spans="1:35" ht="28.9" x14ac:dyDescent="0.3">
      <c r="A9" s="1">
        <v>1033</v>
      </c>
      <c r="B9" s="1"/>
      <c r="C9" s="1" t="s">
        <v>6</v>
      </c>
      <c r="D9" s="1" t="s">
        <v>14</v>
      </c>
      <c r="E9" s="1" t="s">
        <v>13</v>
      </c>
      <c r="F9" s="1">
        <v>104.567769693898</v>
      </c>
      <c r="G9" s="8">
        <f t="shared" si="0"/>
        <v>176.38908078464144</v>
      </c>
      <c r="H9" s="13">
        <v>176.39</v>
      </c>
      <c r="J9" s="1">
        <v>498</v>
      </c>
      <c r="K9" s="1"/>
      <c r="L9" s="1" t="s">
        <v>56</v>
      </c>
      <c r="M9" s="1"/>
      <c r="N9" s="1"/>
      <c r="O9" s="1">
        <v>443.55014878467301</v>
      </c>
      <c r="P9" s="8">
        <f t="shared" si="1"/>
        <v>1336.2511890816372</v>
      </c>
      <c r="Q9" s="13">
        <v>1336.25</v>
      </c>
      <c r="S9" s="1">
        <v>480</v>
      </c>
      <c r="T9" s="2">
        <v>3200</v>
      </c>
      <c r="U9" s="1" t="s">
        <v>59</v>
      </c>
      <c r="V9" s="2"/>
      <c r="W9" s="1">
        <v>4</v>
      </c>
      <c r="X9" s="1">
        <v>2217.6515757133302</v>
      </c>
      <c r="Y9" s="8">
        <f t="shared" si="2"/>
        <v>7406.5166314607313</v>
      </c>
      <c r="Z9" s="13">
        <v>3200</v>
      </c>
      <c r="AB9" s="1">
        <v>400</v>
      </c>
      <c r="AC9" s="1"/>
      <c r="AD9" s="1" t="s">
        <v>61</v>
      </c>
      <c r="AE9" s="1"/>
      <c r="AF9" s="1"/>
      <c r="AG9" s="6">
        <v>236.843863744803</v>
      </c>
      <c r="AH9" s="26">
        <f t="shared" si="3"/>
        <v>628.98496418921798</v>
      </c>
      <c r="AI9" s="27">
        <v>628.98</v>
      </c>
    </row>
    <row r="10" spans="1:35" ht="28.9" x14ac:dyDescent="0.3">
      <c r="A10" s="1">
        <v>11</v>
      </c>
      <c r="B10" s="1"/>
      <c r="C10" s="1" t="s">
        <v>6</v>
      </c>
      <c r="D10" s="1" t="s">
        <v>16</v>
      </c>
      <c r="E10" s="1" t="s">
        <v>29</v>
      </c>
      <c r="F10" s="1">
        <v>947.96900188177403</v>
      </c>
      <c r="G10" s="8">
        <f t="shared" si="0"/>
        <v>3062.1707368386783</v>
      </c>
      <c r="H10" s="13">
        <v>3062.17</v>
      </c>
      <c r="J10" s="1">
        <v>499</v>
      </c>
      <c r="K10" s="1"/>
      <c r="L10" s="1" t="s">
        <v>56</v>
      </c>
      <c r="M10" s="1"/>
      <c r="N10" s="1"/>
      <c r="O10" s="1">
        <v>227.133933151581</v>
      </c>
      <c r="P10" s="8">
        <f t="shared" si="1"/>
        <v>595.76146567144963</v>
      </c>
      <c r="Q10" s="13">
        <v>595.76</v>
      </c>
      <c r="S10" s="1">
        <v>481</v>
      </c>
      <c r="T10" s="1"/>
      <c r="U10" s="1" t="s">
        <v>59</v>
      </c>
      <c r="V10" s="1"/>
      <c r="W10" s="1"/>
      <c r="X10" s="1">
        <v>1056.8010202289399</v>
      </c>
      <c r="Y10" s="8">
        <f t="shared" si="2"/>
        <v>3434.550370815341</v>
      </c>
      <c r="Z10" s="13">
        <v>3434.55</v>
      </c>
      <c r="AB10" s="1">
        <v>401</v>
      </c>
      <c r="AC10" s="1"/>
      <c r="AD10" s="1" t="s">
        <v>61</v>
      </c>
      <c r="AE10" s="1"/>
      <c r="AF10" s="1"/>
      <c r="AG10" s="6">
        <v>404.631273346228</v>
      </c>
      <c r="AH10" s="26">
        <f t="shared" si="3"/>
        <v>1203.0863648814536</v>
      </c>
      <c r="AI10" s="27">
        <v>1203.0899999999999</v>
      </c>
    </row>
    <row r="11" spans="1:35" ht="28.9" x14ac:dyDescent="0.3">
      <c r="A11" s="1">
        <v>14</v>
      </c>
      <c r="B11" s="1"/>
      <c r="C11" s="1" t="s">
        <v>6</v>
      </c>
      <c r="D11" s="1" t="s">
        <v>12</v>
      </c>
      <c r="E11" s="1" t="s">
        <v>23</v>
      </c>
      <c r="F11" s="1">
        <v>76.103715987871695</v>
      </c>
      <c r="G11" s="8">
        <f t="shared" si="0"/>
        <v>78.996474624101808</v>
      </c>
      <c r="H11" s="13">
        <v>78.989999999999995</v>
      </c>
      <c r="J11" s="1">
        <v>501</v>
      </c>
      <c r="K11" s="22">
        <v>1000</v>
      </c>
      <c r="L11" s="1" t="s">
        <v>56</v>
      </c>
      <c r="M11" s="2"/>
      <c r="N11" s="1">
        <v>4</v>
      </c>
      <c r="O11" s="1">
        <v>143.23422020880801</v>
      </c>
      <c r="P11" s="8">
        <f t="shared" si="1"/>
        <v>308.69020786645751</v>
      </c>
      <c r="Q11" s="13">
        <v>308.69</v>
      </c>
      <c r="S11" s="1">
        <v>482</v>
      </c>
      <c r="T11" s="22">
        <v>5800</v>
      </c>
      <c r="U11" s="1" t="s">
        <v>59</v>
      </c>
      <c r="V11" s="2"/>
      <c r="W11" s="1"/>
      <c r="X11" s="1">
        <v>854.35072883821294</v>
      </c>
      <c r="Y11" s="8">
        <f t="shared" si="2"/>
        <v>2741.8464537928294</v>
      </c>
      <c r="Z11" s="13">
        <v>2741.85</v>
      </c>
      <c r="AB11" s="1">
        <v>402</v>
      </c>
      <c r="AC11" s="1"/>
      <c r="AD11" s="1" t="s">
        <v>61</v>
      </c>
      <c r="AE11" s="1"/>
      <c r="AF11" s="1"/>
      <c r="AG11" s="6">
        <v>582.87930877557199</v>
      </c>
      <c r="AH11" s="26">
        <f t="shared" si="3"/>
        <v>1812.9798429064972</v>
      </c>
      <c r="AI11" s="27">
        <v>1812.98</v>
      </c>
    </row>
    <row r="12" spans="1:35" ht="28.9" x14ac:dyDescent="0.3">
      <c r="A12" s="1">
        <v>21</v>
      </c>
      <c r="B12" s="1"/>
      <c r="C12" s="1" t="s">
        <v>6</v>
      </c>
      <c r="D12" s="1" t="s">
        <v>10</v>
      </c>
      <c r="E12" s="1" t="s">
        <v>24</v>
      </c>
      <c r="F12" s="1">
        <v>664.51408645617801</v>
      </c>
      <c r="G12" s="8">
        <f t="shared" si="0"/>
        <v>2092.3013982184589</v>
      </c>
      <c r="H12" s="13">
        <v>2092.3000000000002</v>
      </c>
      <c r="J12" s="1">
        <v>502</v>
      </c>
      <c r="K12" s="1"/>
      <c r="L12" s="1" t="s">
        <v>56</v>
      </c>
      <c r="M12" s="1"/>
      <c r="N12" s="1"/>
      <c r="O12" s="1">
        <v>80.014099886169504</v>
      </c>
      <c r="P12" s="8">
        <f t="shared" si="1"/>
        <v>92.376244170517595</v>
      </c>
      <c r="Q12" s="13">
        <v>92.38</v>
      </c>
      <c r="S12" s="1">
        <v>483</v>
      </c>
      <c r="T12" s="2">
        <v>18000</v>
      </c>
      <c r="U12" s="1" t="s">
        <v>59</v>
      </c>
      <c r="V12" s="2"/>
      <c r="W12" s="1">
        <v>7</v>
      </c>
      <c r="X12" s="1">
        <v>3208.0912794913302</v>
      </c>
      <c r="Y12" s="8">
        <f t="shared" si="2"/>
        <v>10795.405121907535</v>
      </c>
      <c r="Z12" s="13">
        <v>18000</v>
      </c>
      <c r="AB12" s="1">
        <v>403</v>
      </c>
      <c r="AC12" s="2">
        <v>1600</v>
      </c>
      <c r="AD12" s="1" t="s">
        <v>61</v>
      </c>
      <c r="AE12" s="1"/>
      <c r="AF12" s="1"/>
      <c r="AG12" s="6">
        <v>973.98578232506895</v>
      </c>
      <c r="AH12" s="26">
        <f t="shared" si="3"/>
        <v>3151.189752803456</v>
      </c>
      <c r="AI12" s="27">
        <v>1600</v>
      </c>
    </row>
    <row r="13" spans="1:35" ht="28.9" x14ac:dyDescent="0.3">
      <c r="A13" s="1">
        <v>380</v>
      </c>
      <c r="B13" s="1"/>
      <c r="C13" s="1" t="s">
        <v>6</v>
      </c>
      <c r="D13" s="1" t="s">
        <v>12</v>
      </c>
      <c r="E13" s="1" t="s">
        <v>20</v>
      </c>
      <c r="F13" s="1">
        <v>297.48535681282198</v>
      </c>
      <c r="G13" s="8">
        <f t="shared" si="0"/>
        <v>836.47589687075174</v>
      </c>
      <c r="H13" s="13">
        <v>836.48</v>
      </c>
      <c r="J13" s="1">
        <v>503</v>
      </c>
      <c r="K13" s="1"/>
      <c r="L13" s="1" t="s">
        <v>56</v>
      </c>
      <c r="M13" s="1"/>
      <c r="N13" s="1"/>
      <c r="O13" s="1">
        <v>231.22675691349201</v>
      </c>
      <c r="P13" s="8">
        <f t="shared" si="1"/>
        <v>609.76547145520431</v>
      </c>
      <c r="Q13" s="13">
        <v>609.77</v>
      </c>
      <c r="S13" s="1">
        <v>484</v>
      </c>
      <c r="T13" s="2">
        <v>2000</v>
      </c>
      <c r="U13" s="1" t="s">
        <v>59</v>
      </c>
      <c r="V13" s="2"/>
      <c r="W13" s="1">
        <v>4</v>
      </c>
      <c r="X13" s="1">
        <v>835.89700620438498</v>
      </c>
      <c r="Y13" s="8">
        <f t="shared" si="2"/>
        <v>2678.7051964289235</v>
      </c>
      <c r="Z13" s="13">
        <v>2000</v>
      </c>
      <c r="AB13" s="1">
        <v>404</v>
      </c>
      <c r="AC13" s="2">
        <v>7000</v>
      </c>
      <c r="AD13" s="1" t="s">
        <v>61</v>
      </c>
      <c r="AE13" s="1"/>
      <c r="AF13" s="1"/>
      <c r="AG13" s="6">
        <v>2252.7387697141799</v>
      </c>
      <c r="AH13" s="26">
        <f t="shared" si="3"/>
        <v>7526.5709744540382</v>
      </c>
      <c r="AI13" s="27">
        <v>7000</v>
      </c>
    </row>
    <row r="14" spans="1:35" ht="28.9" x14ac:dyDescent="0.3">
      <c r="A14" s="1">
        <v>381</v>
      </c>
      <c r="B14" s="2">
        <v>2400</v>
      </c>
      <c r="C14" s="1" t="s">
        <v>6</v>
      </c>
      <c r="D14" s="1" t="s">
        <v>14</v>
      </c>
      <c r="E14" s="1" t="s">
        <v>20</v>
      </c>
      <c r="F14" s="1">
        <v>608.94035959102905</v>
      </c>
      <c r="G14" s="8">
        <f t="shared" si="0"/>
        <v>1902.1503343766649</v>
      </c>
      <c r="H14" s="14">
        <v>2400</v>
      </c>
      <c r="J14" s="1">
        <v>504</v>
      </c>
      <c r="K14" s="1"/>
      <c r="L14" s="1" t="s">
        <v>56</v>
      </c>
      <c r="M14" s="1"/>
      <c r="N14" s="1"/>
      <c r="O14" s="1">
        <v>82.695795029942403</v>
      </c>
      <c r="P14" s="8">
        <f t="shared" si="1"/>
        <v>101.55193227445093</v>
      </c>
      <c r="Q14" s="13">
        <v>101.55</v>
      </c>
      <c r="S14" s="1">
        <v>485</v>
      </c>
      <c r="T14" s="21">
        <v>450</v>
      </c>
      <c r="U14" s="1" t="s">
        <v>59</v>
      </c>
      <c r="V14" s="1"/>
      <c r="W14" s="1">
        <v>3</v>
      </c>
      <c r="X14" s="1">
        <v>440.75439800719698</v>
      </c>
      <c r="Y14" s="8">
        <f t="shared" si="2"/>
        <v>1326.6852482214251</v>
      </c>
      <c r="Z14" s="13">
        <v>1326.69</v>
      </c>
      <c r="AB14" s="1">
        <v>405</v>
      </c>
      <c r="AC14" s="2">
        <v>11040</v>
      </c>
      <c r="AD14" s="1" t="s">
        <v>61</v>
      </c>
      <c r="AE14" s="1"/>
      <c r="AF14" s="1"/>
      <c r="AG14" s="6">
        <v>2368.5589573437701</v>
      </c>
      <c r="AH14" s="26">
        <f t="shared" si="3"/>
        <v>7922.861328447445</v>
      </c>
      <c r="AI14" s="27">
        <v>11040</v>
      </c>
    </row>
    <row r="15" spans="1:35" ht="28.9" x14ac:dyDescent="0.3">
      <c r="A15" s="1">
        <v>383</v>
      </c>
      <c r="B15" s="1"/>
      <c r="C15" s="1" t="s">
        <v>6</v>
      </c>
      <c r="D15" s="1" t="s">
        <v>17</v>
      </c>
      <c r="E15" s="1" t="s">
        <v>13</v>
      </c>
      <c r="F15" s="1">
        <v>75.291222551102607</v>
      </c>
      <c r="G15" s="8">
        <f t="shared" si="0"/>
        <v>76.216447080852703</v>
      </c>
      <c r="H15" s="13">
        <v>76.209999999999994</v>
      </c>
      <c r="J15" s="1">
        <v>515</v>
      </c>
      <c r="K15" s="1"/>
      <c r="L15" s="1" t="s">
        <v>56</v>
      </c>
      <c r="M15" s="1"/>
      <c r="N15" s="1"/>
      <c r="O15" s="1">
        <v>95.481228443614995</v>
      </c>
      <c r="P15" s="8">
        <f t="shared" si="1"/>
        <v>145.29857124267309</v>
      </c>
      <c r="Q15" s="13">
        <v>145.30000000000001</v>
      </c>
      <c r="S15" s="1">
        <v>486</v>
      </c>
      <c r="T15" s="1"/>
      <c r="U15" s="1" t="s">
        <v>59</v>
      </c>
      <c r="V15" s="1"/>
      <c r="W15" s="1"/>
      <c r="X15" s="1">
        <v>298.749410388282</v>
      </c>
      <c r="Y15" s="8">
        <f t="shared" si="2"/>
        <v>840.80098258454575</v>
      </c>
      <c r="Z15" s="13">
        <v>840.8</v>
      </c>
      <c r="AB15" s="1">
        <v>406</v>
      </c>
      <c r="AC15" s="1">
        <v>700</v>
      </c>
      <c r="AD15" s="1" t="s">
        <v>61</v>
      </c>
      <c r="AE15" s="1"/>
      <c r="AF15" s="1"/>
      <c r="AG15" s="6">
        <v>450.42702404763099</v>
      </c>
      <c r="AH15" s="26">
        <f t="shared" si="3"/>
        <v>1359.7811054813742</v>
      </c>
      <c r="AI15" s="27">
        <v>700</v>
      </c>
    </row>
    <row r="16" spans="1:35" ht="28.9" x14ac:dyDescent="0.3">
      <c r="A16" s="1">
        <v>384</v>
      </c>
      <c r="B16" s="1"/>
      <c r="C16" s="1" t="s">
        <v>6</v>
      </c>
      <c r="D16" s="1" t="s">
        <v>17</v>
      </c>
      <c r="E16" s="1" t="s">
        <v>15</v>
      </c>
      <c r="F16" s="1">
        <v>279.88474279234498</v>
      </c>
      <c r="G16" s="8">
        <f t="shared" si="0"/>
        <v>776.25363593828763</v>
      </c>
      <c r="H16" s="13">
        <v>776.25</v>
      </c>
      <c r="J16" s="1">
        <v>516</v>
      </c>
      <c r="K16" s="1"/>
      <c r="L16" s="1" t="e">
        <f>Daronne!I</f>
        <v>#NAME?</v>
      </c>
      <c r="M16" s="1"/>
      <c r="N16" s="1"/>
      <c r="O16" s="1">
        <v>213.506570143587</v>
      </c>
      <c r="P16" s="8">
        <f t="shared" si="1"/>
        <v>549.13408040329739</v>
      </c>
      <c r="Q16" s="13">
        <v>549.13</v>
      </c>
      <c r="S16" s="1">
        <v>487</v>
      </c>
      <c r="T16" s="2">
        <v>6000</v>
      </c>
      <c r="U16" s="1" t="s">
        <v>59</v>
      </c>
      <c r="V16" s="2"/>
      <c r="W16" s="1">
        <v>7</v>
      </c>
      <c r="X16" s="1">
        <v>2678.5747709596999</v>
      </c>
      <c r="Y16" s="8">
        <f t="shared" si="2"/>
        <v>8983.6114363157103</v>
      </c>
      <c r="Z16" s="13">
        <v>6000</v>
      </c>
      <c r="AB16" s="1">
        <v>407</v>
      </c>
      <c r="AC16" s="1"/>
      <c r="AD16" s="1" t="s">
        <v>61</v>
      </c>
      <c r="AE16" s="1"/>
      <c r="AF16" s="1"/>
      <c r="AG16" s="6">
        <v>346.687266965216</v>
      </c>
      <c r="AH16" s="26">
        <f t="shared" si="3"/>
        <v>1004.8251526481832</v>
      </c>
      <c r="AI16" s="27">
        <v>1004.83</v>
      </c>
    </row>
    <row r="17" spans="1:35" ht="28.9" x14ac:dyDescent="0.3">
      <c r="A17" s="1">
        <v>387</v>
      </c>
      <c r="B17" s="1"/>
      <c r="C17" s="1" t="s">
        <v>6</v>
      </c>
      <c r="D17" s="1" t="s">
        <v>14</v>
      </c>
      <c r="E17" s="1" t="s">
        <v>13</v>
      </c>
      <c r="F17" s="1">
        <v>106.69105661504901</v>
      </c>
      <c r="G17" s="8">
        <f t="shared" si="0"/>
        <v>183.65411931405171</v>
      </c>
      <c r="H17" s="13">
        <v>183.65</v>
      </c>
      <c r="J17" s="1">
        <v>517</v>
      </c>
      <c r="K17" s="2">
        <v>1200</v>
      </c>
      <c r="L17" s="1" t="s">
        <v>56</v>
      </c>
      <c r="M17" s="2"/>
      <c r="N17" s="1">
        <v>4</v>
      </c>
      <c r="O17" s="1">
        <v>397.92626271797798</v>
      </c>
      <c r="P17" s="8">
        <f t="shared" si="1"/>
        <v>1180.1445005158334</v>
      </c>
      <c r="Q17" s="13">
        <v>1200</v>
      </c>
      <c r="S17" s="1">
        <v>488</v>
      </c>
      <c r="T17" s="2">
        <v>4000</v>
      </c>
      <c r="U17" s="1" t="s">
        <v>59</v>
      </c>
      <c r="V17" s="2"/>
      <c r="W17" s="1">
        <v>5</v>
      </c>
      <c r="X17" s="1">
        <v>1370.0530054794699</v>
      </c>
      <c r="Y17" s="8">
        <f t="shared" si="2"/>
        <v>4506.3733635485551</v>
      </c>
      <c r="Z17" s="13">
        <v>4000</v>
      </c>
      <c r="AB17" s="1">
        <v>408</v>
      </c>
      <c r="AC17" s="1"/>
      <c r="AD17" s="1" t="s">
        <v>61</v>
      </c>
      <c r="AE17" s="1"/>
      <c r="AF17" s="1"/>
      <c r="AG17" s="6">
        <v>263.80904542185698</v>
      </c>
      <c r="AH17" s="26">
        <f t="shared" si="3"/>
        <v>721.24902981542596</v>
      </c>
      <c r="AI17" s="27">
        <v>721.25</v>
      </c>
    </row>
    <row r="18" spans="1:35" ht="28.9" x14ac:dyDescent="0.3">
      <c r="A18" s="1">
        <v>389</v>
      </c>
      <c r="B18" s="1"/>
      <c r="C18" s="1" t="s">
        <v>6</v>
      </c>
      <c r="D18" s="1" t="s">
        <v>16</v>
      </c>
      <c r="E18" s="1" t="s">
        <v>20</v>
      </c>
      <c r="F18" s="1">
        <v>65.546901151579206</v>
      </c>
      <c r="G18" s="8">
        <f t="shared" si="0"/>
        <v>42.875276980243427</v>
      </c>
      <c r="H18" s="13">
        <v>65.55</v>
      </c>
      <c r="J18" s="1">
        <v>518</v>
      </c>
      <c r="K18" s="21">
        <v>600</v>
      </c>
      <c r="L18" s="1" t="s">
        <v>56</v>
      </c>
      <c r="M18" s="1"/>
      <c r="N18" s="1">
        <v>3</v>
      </c>
      <c r="O18" s="1">
        <v>418.12590458913098</v>
      </c>
      <c r="P18" s="8">
        <f t="shared" si="1"/>
        <v>1249.2595951421706</v>
      </c>
      <c r="Q18" s="13">
        <v>1249.26</v>
      </c>
      <c r="S18" s="1">
        <v>489</v>
      </c>
      <c r="T18" s="21">
        <v>880</v>
      </c>
      <c r="U18" s="1" t="s">
        <v>59</v>
      </c>
      <c r="V18" s="1"/>
      <c r="W18" s="1">
        <v>6</v>
      </c>
      <c r="X18" s="1">
        <v>465.24358554292002</v>
      </c>
      <c r="Y18" s="8">
        <f t="shared" si="2"/>
        <v>1410.4774522936552</v>
      </c>
      <c r="Z18" s="13">
        <v>1410.48</v>
      </c>
      <c r="AB18" s="1">
        <v>409</v>
      </c>
      <c r="AC18" s="1"/>
      <c r="AD18" s="1" t="s">
        <v>61</v>
      </c>
      <c r="AE18" s="1"/>
      <c r="AF18" s="1"/>
      <c r="AG18" s="6">
        <v>30.119343049836701</v>
      </c>
      <c r="AH18" s="26">
        <f t="shared" si="3"/>
        <v>-78.343655820678748</v>
      </c>
      <c r="AI18" s="27">
        <v>30.11</v>
      </c>
    </row>
    <row r="19" spans="1:35" ht="28.9" x14ac:dyDescent="0.3">
      <c r="A19" s="1">
        <v>415</v>
      </c>
      <c r="B19" s="2">
        <v>1300</v>
      </c>
      <c r="C19" s="1" t="s">
        <v>6</v>
      </c>
      <c r="D19" s="1" t="s">
        <v>17</v>
      </c>
      <c r="E19" s="1" t="s">
        <v>24</v>
      </c>
      <c r="F19" s="1">
        <v>479.41528424563103</v>
      </c>
      <c r="G19" s="8">
        <f t="shared" si="0"/>
        <v>1458.9673365748511</v>
      </c>
      <c r="H19" s="13">
        <v>1300</v>
      </c>
      <c r="J19" s="1">
        <v>519</v>
      </c>
      <c r="K19" s="1"/>
      <c r="L19" s="1" t="s">
        <v>56</v>
      </c>
      <c r="M19" s="1"/>
      <c r="N19" s="1"/>
      <c r="O19" s="1">
        <v>336.31676539536301</v>
      </c>
      <c r="P19" s="8">
        <f t="shared" si="1"/>
        <v>969.3414444767742</v>
      </c>
      <c r="Q19" s="13">
        <v>969.34</v>
      </c>
      <c r="S19" s="1">
        <v>493</v>
      </c>
      <c r="T19" s="2">
        <v>6000</v>
      </c>
      <c r="U19" s="1" t="s">
        <v>59</v>
      </c>
      <c r="V19" s="2"/>
      <c r="W19" s="1">
        <v>7</v>
      </c>
      <c r="X19" s="1">
        <v>2961.8680036887399</v>
      </c>
      <c r="Y19" s="8">
        <f t="shared" si="2"/>
        <v>9952.927561421393</v>
      </c>
      <c r="Z19" s="13">
        <v>6000</v>
      </c>
      <c r="AB19" s="1">
        <v>412</v>
      </c>
      <c r="AC19" s="1">
        <v>120</v>
      </c>
      <c r="AD19" s="1" t="s">
        <v>61</v>
      </c>
      <c r="AE19" s="1"/>
      <c r="AF19" s="1"/>
      <c r="AG19" s="6">
        <v>87.495698290029907</v>
      </c>
      <c r="AH19" s="26">
        <f t="shared" si="3"/>
        <v>117.97528126916635</v>
      </c>
      <c r="AI19" s="27">
        <v>120</v>
      </c>
    </row>
    <row r="20" spans="1:35" ht="28.9" x14ac:dyDescent="0.3">
      <c r="A20" s="1">
        <v>417</v>
      </c>
      <c r="B20" s="1"/>
      <c r="C20" s="1" t="s">
        <v>6</v>
      </c>
      <c r="D20" s="1" t="s">
        <v>17</v>
      </c>
      <c r="E20" s="1" t="s">
        <v>20</v>
      </c>
      <c r="F20" s="1">
        <v>666.08040130000199</v>
      </c>
      <c r="G20" s="8">
        <f t="shared" si="0"/>
        <v>2097.6607010880871</v>
      </c>
      <c r="H20" s="13">
        <v>2097.66</v>
      </c>
      <c r="J20" s="1">
        <v>520</v>
      </c>
      <c r="K20" s="2">
        <v>3000</v>
      </c>
      <c r="L20" s="1" t="s">
        <v>56</v>
      </c>
      <c r="M20" s="2"/>
      <c r="N20" s="1">
        <v>6</v>
      </c>
      <c r="O20" s="1">
        <v>1281.4799779422101</v>
      </c>
      <c r="P20" s="8">
        <f t="shared" si="1"/>
        <v>4203.3118925270664</v>
      </c>
      <c r="Q20" s="13">
        <v>3000</v>
      </c>
      <c r="S20" s="1">
        <v>521</v>
      </c>
      <c r="T20" s="1"/>
      <c r="U20" s="1" t="s">
        <v>59</v>
      </c>
      <c r="V20" s="1"/>
      <c r="W20" s="1"/>
      <c r="X20" s="1">
        <v>592.46911200778902</v>
      </c>
      <c r="Y20" s="8">
        <f t="shared" si="2"/>
        <v>1845.792313645851</v>
      </c>
      <c r="Z20" s="13">
        <v>1845.79</v>
      </c>
      <c r="AB20" s="1">
        <v>413</v>
      </c>
      <c r="AC20" s="1"/>
      <c r="AD20" s="1" t="s">
        <v>61</v>
      </c>
      <c r="AE20" s="1"/>
      <c r="AF20" s="1"/>
      <c r="AG20" s="6">
        <v>304.82576133035298</v>
      </c>
      <c r="AH20" s="26">
        <f t="shared" si="3"/>
        <v>861.59182496793585</v>
      </c>
      <c r="AI20" s="27">
        <v>861.59</v>
      </c>
    </row>
    <row r="21" spans="1:35" ht="28.9" x14ac:dyDescent="0.3">
      <c r="A21" s="1">
        <v>418</v>
      </c>
      <c r="B21" s="1"/>
      <c r="C21" s="1" t="s">
        <v>6</v>
      </c>
      <c r="D21" s="1" t="s">
        <v>14</v>
      </c>
      <c r="E21" s="1" t="s">
        <v>22</v>
      </c>
      <c r="F21" s="1">
        <v>185.87465312464801</v>
      </c>
      <c r="G21" s="8">
        <f t="shared" si="0"/>
        <v>454.58871313129566</v>
      </c>
      <c r="H21" s="13">
        <v>454.59</v>
      </c>
      <c r="J21" s="1">
        <v>522</v>
      </c>
      <c r="K21" s="1"/>
      <c r="L21" s="1" t="s">
        <v>56</v>
      </c>
      <c r="M21" s="1"/>
      <c r="N21" s="1"/>
      <c r="O21" s="1">
        <v>192.491441261544</v>
      </c>
      <c r="P21" s="8">
        <f t="shared" si="1"/>
        <v>477.22871542049904</v>
      </c>
      <c r="Q21" s="13">
        <v>477.23</v>
      </c>
      <c r="S21" s="1">
        <v>523</v>
      </c>
      <c r="T21" s="1">
        <v>363</v>
      </c>
      <c r="U21" s="1" t="s">
        <v>59</v>
      </c>
      <c r="V21" s="1"/>
      <c r="W21" s="1">
        <v>3</v>
      </c>
      <c r="X21" s="1">
        <v>184.53853416560401</v>
      </c>
      <c r="Y21" s="8">
        <f t="shared" si="2"/>
        <v>450.01704850103067</v>
      </c>
      <c r="Z21" s="13">
        <v>363</v>
      </c>
      <c r="AB21" s="1">
        <v>414</v>
      </c>
      <c r="AC21" s="1"/>
      <c r="AD21" s="1" t="s">
        <v>61</v>
      </c>
      <c r="AE21" s="1"/>
      <c r="AF21" s="1"/>
      <c r="AG21" s="6">
        <v>192.286042614895</v>
      </c>
      <c r="AH21" s="26">
        <f t="shared" si="3"/>
        <v>476.52592341112472</v>
      </c>
      <c r="AI21" s="27">
        <v>476.53</v>
      </c>
    </row>
    <row r="22" spans="1:35" ht="28.9" x14ac:dyDescent="0.3">
      <c r="A22" s="1">
        <v>424</v>
      </c>
      <c r="B22" s="2">
        <v>8000</v>
      </c>
      <c r="C22" s="1" t="s">
        <v>6</v>
      </c>
      <c r="D22" s="1" t="s">
        <v>16</v>
      </c>
      <c r="E22" s="1" t="s">
        <v>33</v>
      </c>
      <c r="F22" s="1">
        <v>2766.72434479514</v>
      </c>
      <c r="G22" s="8">
        <f t="shared" si="0"/>
        <v>9285.2240181510515</v>
      </c>
      <c r="H22" s="13">
        <v>8000</v>
      </c>
      <c r="J22" s="1">
        <v>526</v>
      </c>
      <c r="K22" s="1"/>
      <c r="L22" s="1" t="s">
        <v>56</v>
      </c>
      <c r="M22" s="1"/>
      <c r="N22" s="1"/>
      <c r="O22" s="1">
        <v>240.55546552176</v>
      </c>
      <c r="P22" s="8">
        <f t="shared" si="1"/>
        <v>641.68458082925406</v>
      </c>
      <c r="Q22" s="13">
        <v>641.67999999999995</v>
      </c>
      <c r="S22" s="10">
        <v>524</v>
      </c>
      <c r="T22" s="1"/>
      <c r="U22" s="1" t="s">
        <v>59</v>
      </c>
      <c r="V22" s="1"/>
      <c r="W22" s="1"/>
      <c r="X22" s="1">
        <v>332.50735390206302</v>
      </c>
      <c r="Y22" s="8">
        <f t="shared" si="2"/>
        <v>956.30716211129891</v>
      </c>
      <c r="Z22" s="13">
        <v>956.31</v>
      </c>
      <c r="AB22" s="1">
        <v>416</v>
      </c>
      <c r="AC22" s="1"/>
      <c r="AD22" s="1" t="s">
        <v>61</v>
      </c>
      <c r="AE22" s="1"/>
      <c r="AF22" s="1"/>
      <c r="AG22" s="6">
        <v>144.25601969224999</v>
      </c>
      <c r="AH22" s="26">
        <f t="shared" si="3"/>
        <v>312.18639697900255</v>
      </c>
      <c r="AI22" s="27">
        <v>312.19</v>
      </c>
    </row>
    <row r="23" spans="1:35" ht="28.9" x14ac:dyDescent="0.3">
      <c r="A23" s="1">
        <v>425</v>
      </c>
      <c r="B23" s="2">
        <v>7500</v>
      </c>
      <c r="C23" s="1" t="s">
        <v>6</v>
      </c>
      <c r="D23" s="1" t="s">
        <v>16</v>
      </c>
      <c r="E23" s="1" t="s">
        <v>33</v>
      </c>
      <c r="F23" s="1">
        <v>3067.4561789178701</v>
      </c>
      <c r="G23" s="8">
        <f t="shared" si="0"/>
        <v>10314.208061785386</v>
      </c>
      <c r="H23" s="13">
        <v>7500</v>
      </c>
      <c r="J23" s="1">
        <v>527</v>
      </c>
      <c r="K23" s="1"/>
      <c r="L23" s="1" t="s">
        <v>56</v>
      </c>
      <c r="M23" s="1"/>
      <c r="N23" s="1"/>
      <c r="O23" s="1">
        <v>307.433293176257</v>
      </c>
      <c r="P23" s="8">
        <f t="shared" si="1"/>
        <v>870.51375593188106</v>
      </c>
      <c r="Q23" s="13">
        <v>870.51</v>
      </c>
      <c r="S23" s="26">
        <v>525</v>
      </c>
      <c r="T23" s="25">
        <v>1800</v>
      </c>
      <c r="U23" s="1" t="s">
        <v>59</v>
      </c>
      <c r="V23" s="2"/>
      <c r="W23" s="1">
        <v>7</v>
      </c>
      <c r="X23" s="10">
        <v>876.62824161883896</v>
      </c>
      <c r="Y23" s="11">
        <f t="shared" si="2"/>
        <v>2818.0711915230195</v>
      </c>
      <c r="Z23" s="13">
        <v>1800</v>
      </c>
      <c r="AB23" s="1">
        <v>419</v>
      </c>
      <c r="AC23" s="1"/>
      <c r="AD23" s="1" t="s">
        <v>61</v>
      </c>
      <c r="AE23" s="1"/>
      <c r="AF23" s="1"/>
      <c r="AG23" s="6">
        <v>525.48265570503702</v>
      </c>
      <c r="AH23" s="26">
        <f t="shared" si="3"/>
        <v>1616.5914547603547</v>
      </c>
      <c r="AI23" s="27">
        <v>1616.59</v>
      </c>
    </row>
    <row r="24" spans="1:35" ht="28.9" x14ac:dyDescent="0.3">
      <c r="A24" s="1">
        <v>426</v>
      </c>
      <c r="B24" s="1"/>
      <c r="C24" s="1" t="s">
        <v>6</v>
      </c>
      <c r="D24" s="1" t="s">
        <v>14</v>
      </c>
      <c r="E24" s="1" t="s">
        <v>15</v>
      </c>
      <c r="F24" s="1">
        <v>208.230049780088</v>
      </c>
      <c r="G24" s="8">
        <f t="shared" si="0"/>
        <v>531.07993832754914</v>
      </c>
      <c r="H24" s="13">
        <v>531.08000000000004</v>
      </c>
      <c r="J24" s="1">
        <v>528</v>
      </c>
      <c r="K24" s="1"/>
      <c r="L24" s="1" t="s">
        <v>56</v>
      </c>
      <c r="M24" s="1"/>
      <c r="N24" s="1"/>
      <c r="O24" s="1">
        <v>449.82107508226699</v>
      </c>
      <c r="P24" s="8">
        <f t="shared" si="1"/>
        <v>1357.7077905014846</v>
      </c>
      <c r="Q24" s="13">
        <v>1357.71</v>
      </c>
      <c r="X24" s="8">
        <f>SUM(X3:X23)</f>
        <v>20766.350313151626</v>
      </c>
      <c r="Y24" s="20">
        <f>SUM(Y3:Y23)</f>
        <v>67244.744231479606</v>
      </c>
      <c r="Z24" s="13">
        <f>SUM(Z3:Z23)</f>
        <v>62360.450000000004</v>
      </c>
      <c r="AB24" s="1">
        <v>420</v>
      </c>
      <c r="AC24" s="1"/>
      <c r="AD24" s="1" t="s">
        <v>61</v>
      </c>
      <c r="AE24" s="1"/>
      <c r="AF24" s="1"/>
      <c r="AG24" s="6">
        <v>616.41010195431795</v>
      </c>
      <c r="AH24" s="26">
        <f t="shared" si="3"/>
        <v>1927.7088048468945</v>
      </c>
      <c r="AI24" s="27">
        <v>1927.71</v>
      </c>
    </row>
    <row r="25" spans="1:35" ht="28.9" x14ac:dyDescent="0.3">
      <c r="A25" s="1">
        <v>427</v>
      </c>
      <c r="B25" s="2">
        <v>18000</v>
      </c>
      <c r="C25" s="1" t="s">
        <v>6</v>
      </c>
      <c r="D25" s="1" t="s">
        <v>10</v>
      </c>
      <c r="E25" s="1" t="s">
        <v>33</v>
      </c>
      <c r="F25" s="1">
        <v>5454.7569801433701</v>
      </c>
      <c r="G25" s="8">
        <f t="shared" si="0"/>
        <v>18482.596483258556</v>
      </c>
      <c r="H25" s="13">
        <v>18000</v>
      </c>
      <c r="J25" s="1">
        <v>529</v>
      </c>
      <c r="K25" s="1"/>
      <c r="L25" s="1" t="s">
        <v>56</v>
      </c>
      <c r="M25" s="1"/>
      <c r="N25" s="1"/>
      <c r="O25" s="1">
        <v>421.22625449468501</v>
      </c>
      <c r="P25" s="8">
        <f t="shared" si="1"/>
        <v>1259.8677523790143</v>
      </c>
      <c r="Q25" s="13">
        <v>1259.8699999999999</v>
      </c>
      <c r="AB25" s="1">
        <v>421</v>
      </c>
      <c r="AC25" s="1"/>
      <c r="AD25" s="1" t="s">
        <v>61</v>
      </c>
      <c r="AE25" s="1"/>
      <c r="AF25" s="1"/>
      <c r="AG25" s="6">
        <v>242.086319769222</v>
      </c>
      <c r="AH25" s="26">
        <f t="shared" si="3"/>
        <v>646.92255172237003</v>
      </c>
      <c r="AI25" s="27">
        <v>646.91999999999996</v>
      </c>
    </row>
    <row r="26" spans="1:35" ht="28.9" x14ac:dyDescent="0.3">
      <c r="A26" s="1">
        <v>428</v>
      </c>
      <c r="B26" s="1">
        <v>60</v>
      </c>
      <c r="C26" s="1" t="s">
        <v>6</v>
      </c>
      <c r="D26" s="1" t="s">
        <v>14</v>
      </c>
      <c r="E26" s="1" t="s">
        <v>13</v>
      </c>
      <c r="F26" s="1">
        <v>188.28550402309801</v>
      </c>
      <c r="G26" s="8">
        <f t="shared" si="0"/>
        <v>462.83768056543227</v>
      </c>
      <c r="H26" s="13">
        <v>60</v>
      </c>
      <c r="J26" s="1">
        <v>530</v>
      </c>
      <c r="K26" s="1"/>
      <c r="L26" s="1" t="s">
        <v>56</v>
      </c>
      <c r="M26" s="1"/>
      <c r="N26" s="1"/>
      <c r="O26" s="1">
        <v>251.26028506444999</v>
      </c>
      <c r="P26" s="8">
        <f t="shared" si="1"/>
        <v>678.31219137652215</v>
      </c>
      <c r="Q26" s="13">
        <v>678.31</v>
      </c>
      <c r="AB26" s="1">
        <v>422</v>
      </c>
      <c r="AC26" s="1"/>
      <c r="AD26" s="1" t="s">
        <v>61</v>
      </c>
      <c r="AE26" s="1"/>
      <c r="AF26" s="1"/>
      <c r="AG26" s="6">
        <v>238.53281018490301</v>
      </c>
      <c r="AH26" s="26">
        <f t="shared" si="3"/>
        <v>634.76386332866423</v>
      </c>
      <c r="AI26" s="27">
        <v>634.76</v>
      </c>
    </row>
    <row r="27" spans="1:35" ht="28.9" x14ac:dyDescent="0.3">
      <c r="A27" s="1">
        <v>429</v>
      </c>
      <c r="B27" s="1"/>
      <c r="C27" s="1" t="s">
        <v>6</v>
      </c>
      <c r="D27" s="1" t="s">
        <v>14</v>
      </c>
      <c r="E27" s="1" t="s">
        <v>15</v>
      </c>
      <c r="F27" s="1">
        <v>320.53673328570198</v>
      </c>
      <c r="G27" s="8">
        <f t="shared" si="0"/>
        <v>915.34848661035801</v>
      </c>
      <c r="H27" s="13">
        <v>915.35</v>
      </c>
      <c r="J27" s="1">
        <v>531</v>
      </c>
      <c r="K27" s="1"/>
      <c r="L27" s="1" t="s">
        <v>56</v>
      </c>
      <c r="M27" s="1"/>
      <c r="N27" s="1"/>
      <c r="O27" s="1">
        <v>195.41293018158601</v>
      </c>
      <c r="P27" s="8">
        <f t="shared" si="1"/>
        <v>487.22488190931472</v>
      </c>
      <c r="Q27" s="13">
        <v>487.22</v>
      </c>
      <c r="AB27" s="1">
        <v>436</v>
      </c>
      <c r="AC27" s="1"/>
      <c r="AD27" s="1" t="s">
        <v>61</v>
      </c>
      <c r="AE27" s="1"/>
      <c r="AF27" s="1"/>
      <c r="AG27" s="6">
        <v>122.078064596801</v>
      </c>
      <c r="AH27" s="26">
        <f t="shared" si="3"/>
        <v>236.30230582441433</v>
      </c>
      <c r="AI27" s="27">
        <v>236.3</v>
      </c>
    </row>
    <row r="28" spans="1:35" ht="28.9" x14ac:dyDescent="0.3">
      <c r="A28" s="1">
        <v>430</v>
      </c>
      <c r="B28" s="2">
        <v>5000</v>
      </c>
      <c r="C28" s="1" t="s">
        <v>6</v>
      </c>
      <c r="D28" s="1" t="s">
        <v>10</v>
      </c>
      <c r="E28" s="1" t="s">
        <v>29</v>
      </c>
      <c r="F28" s="1">
        <v>2142.2028831252601</v>
      </c>
      <c r="G28" s="8">
        <f t="shared" si="0"/>
        <v>7148.3613849013909</v>
      </c>
      <c r="H28" s="13">
        <v>5000</v>
      </c>
      <c r="J28" s="1">
        <v>532</v>
      </c>
      <c r="K28" s="22">
        <v>1500</v>
      </c>
      <c r="L28" s="1" t="s">
        <v>56</v>
      </c>
      <c r="M28" s="2"/>
      <c r="N28" s="1">
        <v>6</v>
      </c>
      <c r="O28" s="1">
        <v>524.94952910566599</v>
      </c>
      <c r="P28" s="8">
        <f t="shared" si="1"/>
        <v>1614.7673087879468</v>
      </c>
      <c r="Q28" s="13">
        <v>1614.77</v>
      </c>
      <c r="AB28" s="1">
        <v>437</v>
      </c>
      <c r="AC28" s="2">
        <v>4000</v>
      </c>
      <c r="AD28" s="1" t="s">
        <v>61</v>
      </c>
      <c r="AE28" s="1"/>
      <c r="AF28" s="1"/>
      <c r="AG28" s="6">
        <v>1590.7825232196201</v>
      </c>
      <c r="AH28" s="26">
        <f t="shared" si="3"/>
        <v>5261.6214814482528</v>
      </c>
      <c r="AI28" s="27">
        <v>4000</v>
      </c>
    </row>
    <row r="29" spans="1:35" ht="28.9" x14ac:dyDescent="0.3">
      <c r="A29" s="1">
        <v>431</v>
      </c>
      <c r="B29" s="2">
        <v>3000</v>
      </c>
      <c r="C29" s="1" t="s">
        <v>6</v>
      </c>
      <c r="D29" s="1" t="s">
        <v>14</v>
      </c>
      <c r="E29" s="1" t="s">
        <v>29</v>
      </c>
      <c r="F29" s="1">
        <v>1115.56620306471</v>
      </c>
      <c r="G29" s="8">
        <f t="shared" si="0"/>
        <v>3635.6213204062119</v>
      </c>
      <c r="H29" s="13">
        <v>3000</v>
      </c>
      <c r="J29" s="1">
        <v>533</v>
      </c>
      <c r="K29" s="24">
        <v>100</v>
      </c>
      <c r="L29" s="1" t="s">
        <v>56</v>
      </c>
      <c r="M29" s="1"/>
      <c r="N29" s="1">
        <v>3</v>
      </c>
      <c r="O29" s="1">
        <v>759.90961908618306</v>
      </c>
      <c r="P29" s="8">
        <f t="shared" si="1"/>
        <v>2418.7067526652841</v>
      </c>
      <c r="Q29" s="13">
        <v>2418.71</v>
      </c>
      <c r="AB29" s="1">
        <v>438</v>
      </c>
      <c r="AC29" s="2">
        <v>9000</v>
      </c>
      <c r="AD29" s="1" t="s">
        <v>61</v>
      </c>
      <c r="AE29" s="1"/>
      <c r="AF29" s="1"/>
      <c r="AG29" s="6">
        <v>2437.5675143653798</v>
      </c>
      <c r="AH29" s="26">
        <f t="shared" si="3"/>
        <v>8158.9810071525844</v>
      </c>
      <c r="AI29" s="27">
        <v>9000</v>
      </c>
    </row>
    <row r="30" spans="1:35" ht="28.9" x14ac:dyDescent="0.3">
      <c r="A30" s="1">
        <v>432</v>
      </c>
      <c r="B30" s="1"/>
      <c r="C30" s="1" t="s">
        <v>6</v>
      </c>
      <c r="D30" s="1" t="s">
        <v>17</v>
      </c>
      <c r="E30" s="1" t="s">
        <v>22</v>
      </c>
      <c r="F30" s="1">
        <v>114.678514493439</v>
      </c>
      <c r="G30" s="8">
        <f t="shared" si="0"/>
        <v>210.98400519075088</v>
      </c>
      <c r="H30" s="13">
        <v>210.98</v>
      </c>
      <c r="J30" s="1">
        <v>534</v>
      </c>
      <c r="K30" s="1"/>
      <c r="L30" s="1" t="s">
        <v>56</v>
      </c>
      <c r="M30" s="1"/>
      <c r="N30" s="1"/>
      <c r="O30" s="1">
        <v>271.31110436021902</v>
      </c>
      <c r="P30" s="8">
        <f t="shared" si="1"/>
        <v>746.91807467892545</v>
      </c>
      <c r="Q30" s="13">
        <v>746.92</v>
      </c>
      <c r="AB30" s="1">
        <v>439</v>
      </c>
      <c r="AC30" s="22">
        <v>1000</v>
      </c>
      <c r="AD30" s="1" t="s">
        <v>61</v>
      </c>
      <c r="AE30" s="1"/>
      <c r="AF30" s="1"/>
      <c r="AG30" s="6">
        <v>460.90300527490098</v>
      </c>
      <c r="AH30" s="26">
        <f t="shared" si="3"/>
        <v>1395.6257228486011</v>
      </c>
      <c r="AI30" s="27">
        <v>1395.63</v>
      </c>
    </row>
    <row r="31" spans="1:35" ht="28.9" x14ac:dyDescent="0.3">
      <c r="A31" s="1">
        <v>433</v>
      </c>
      <c r="B31" s="1"/>
      <c r="C31" s="1" t="s">
        <v>6</v>
      </c>
      <c r="D31" s="1" t="s">
        <v>16</v>
      </c>
      <c r="E31" s="1" t="s">
        <v>24</v>
      </c>
      <c r="F31" s="1">
        <v>166.11840136073101</v>
      </c>
      <c r="G31" s="8">
        <f t="shared" si="0"/>
        <v>386.99072209587735</v>
      </c>
      <c r="H31" s="13">
        <v>386.99</v>
      </c>
      <c r="J31" s="1">
        <v>535</v>
      </c>
      <c r="K31" s="2">
        <v>7000</v>
      </c>
      <c r="L31" s="1" t="s">
        <v>56</v>
      </c>
      <c r="M31" s="2"/>
      <c r="N31" s="1">
        <v>6</v>
      </c>
      <c r="O31" s="1">
        <v>1557.0130638174701</v>
      </c>
      <c r="P31" s="8">
        <f t="shared" si="1"/>
        <v>5146.0758991578559</v>
      </c>
      <c r="Q31" s="13">
        <v>7000</v>
      </c>
      <c r="AB31" s="1">
        <v>440</v>
      </c>
      <c r="AC31" s="1"/>
      <c r="AD31" s="1" t="s">
        <v>61</v>
      </c>
      <c r="AE31" s="1"/>
      <c r="AF31" s="1"/>
      <c r="AG31" s="6">
        <v>201.92017090064101</v>
      </c>
      <c r="AH31" s="26">
        <f t="shared" si="3"/>
        <v>509.49005675363333</v>
      </c>
      <c r="AI31" s="27">
        <v>509.49</v>
      </c>
    </row>
    <row r="32" spans="1:35" ht="28.9" x14ac:dyDescent="0.3">
      <c r="A32" s="1">
        <v>434</v>
      </c>
      <c r="B32" s="1"/>
      <c r="C32" s="1" t="s">
        <v>6</v>
      </c>
      <c r="D32" s="1" t="s">
        <v>14</v>
      </c>
      <c r="E32" s="1" t="s">
        <v>23</v>
      </c>
      <c r="F32" s="1">
        <v>119.68594976898601</v>
      </c>
      <c r="G32" s="8">
        <f t="shared" si="0"/>
        <v>228.11744572956255</v>
      </c>
      <c r="H32" s="13">
        <v>228.12</v>
      </c>
      <c r="J32" s="1">
        <v>536</v>
      </c>
      <c r="K32" s="1"/>
      <c r="L32" s="1" t="s">
        <v>56</v>
      </c>
      <c r="M32" s="1"/>
      <c r="N32" s="1"/>
      <c r="O32" s="1">
        <v>134.876203692464</v>
      </c>
      <c r="P32" s="8">
        <f t="shared" si="1"/>
        <v>280.09241855413484</v>
      </c>
      <c r="Q32" s="13">
        <v>280.08999999999997</v>
      </c>
      <c r="AB32" s="1">
        <v>441</v>
      </c>
      <c r="AC32" s="2">
        <v>14000</v>
      </c>
      <c r="AD32" s="1" t="s">
        <v>61</v>
      </c>
      <c r="AE32" s="1"/>
      <c r="AF32" s="1"/>
      <c r="AG32" s="6">
        <v>3185.83690832614</v>
      </c>
      <c r="AH32" s="26">
        <f t="shared" si="3"/>
        <v>10719.259565528722</v>
      </c>
      <c r="AI32" s="27">
        <v>14000</v>
      </c>
    </row>
    <row r="33" spans="1:35" ht="28.9" x14ac:dyDescent="0.3">
      <c r="A33" s="1">
        <v>435</v>
      </c>
      <c r="B33" s="1"/>
      <c r="C33" s="1" t="s">
        <v>6</v>
      </c>
      <c r="D33" s="1" t="s">
        <v>12</v>
      </c>
      <c r="E33" s="1" t="s">
        <v>20</v>
      </c>
      <c r="F33" s="1">
        <v>770.03874687591394</v>
      </c>
      <c r="G33" s="8">
        <f t="shared" si="0"/>
        <v>2453.3645763106274</v>
      </c>
      <c r="H33" s="13">
        <v>2453.36</v>
      </c>
      <c r="J33" s="1">
        <v>537</v>
      </c>
      <c r="K33" s="1"/>
      <c r="L33" s="1" t="s">
        <v>56</v>
      </c>
      <c r="M33" s="1"/>
      <c r="N33" s="1"/>
      <c r="O33" s="1">
        <v>195.61687404172901</v>
      </c>
      <c r="P33" s="8">
        <f t="shared" si="1"/>
        <v>487.92269622117999</v>
      </c>
      <c r="Q33" s="13">
        <v>487.92</v>
      </c>
      <c r="AB33" s="1">
        <v>442</v>
      </c>
      <c r="AC33" s="1"/>
      <c r="AD33" s="1" t="s">
        <v>61</v>
      </c>
      <c r="AE33" s="1"/>
      <c r="AF33" s="1"/>
      <c r="AG33" s="6">
        <v>333.45411220319397</v>
      </c>
      <c r="AH33" s="26">
        <f t="shared" si="3"/>
        <v>959.54659031444851</v>
      </c>
      <c r="AI33" s="27">
        <v>959.55</v>
      </c>
    </row>
    <row r="34" spans="1:35" ht="28.9" x14ac:dyDescent="0.3">
      <c r="A34" s="1">
        <v>8</v>
      </c>
      <c r="B34" s="21">
        <v>400</v>
      </c>
      <c r="C34" s="1" t="s">
        <v>6</v>
      </c>
      <c r="D34" s="1" t="s">
        <v>14</v>
      </c>
      <c r="E34" s="1" t="s">
        <v>24</v>
      </c>
      <c r="F34" s="1">
        <v>551.41968223618699</v>
      </c>
      <c r="G34" s="8">
        <f t="shared" si="0"/>
        <v>1705.3375847393374</v>
      </c>
      <c r="H34" s="13">
        <v>1705.34</v>
      </c>
      <c r="J34" s="1">
        <v>538</v>
      </c>
      <c r="K34" s="1"/>
      <c r="L34" s="1" t="s">
        <v>56</v>
      </c>
      <c r="M34" s="1"/>
      <c r="N34" s="1"/>
      <c r="O34" s="1">
        <v>191.250229687115</v>
      </c>
      <c r="P34" s="8">
        <f t="shared" si="1"/>
        <v>472.9817858974327</v>
      </c>
      <c r="Q34" s="13">
        <v>472.98</v>
      </c>
      <c r="AB34" s="1">
        <v>443</v>
      </c>
      <c r="AC34" s="1"/>
      <c r="AD34" s="1" t="s">
        <v>61</v>
      </c>
      <c r="AE34" s="1"/>
      <c r="AF34" s="1"/>
      <c r="AG34" s="6">
        <v>246.74304288090499</v>
      </c>
      <c r="AH34" s="26">
        <f t="shared" si="3"/>
        <v>662.85599552130464</v>
      </c>
      <c r="AI34" s="27">
        <v>662.86</v>
      </c>
    </row>
    <row r="35" spans="1:35" ht="28.9" x14ac:dyDescent="0.3">
      <c r="A35" s="1">
        <v>887</v>
      </c>
      <c r="B35" s="1">
        <v>100</v>
      </c>
      <c r="C35" s="1" t="s">
        <v>6</v>
      </c>
      <c r="D35" s="1" t="s">
        <v>17</v>
      </c>
      <c r="E35" s="1" t="s">
        <v>13</v>
      </c>
      <c r="F35" s="1">
        <v>132.49764357196801</v>
      </c>
      <c r="G35" s="8">
        <f t="shared" si="0"/>
        <v>271.95393724584574</v>
      </c>
      <c r="H35" s="13">
        <v>100</v>
      </c>
      <c r="J35" s="1">
        <v>539</v>
      </c>
      <c r="K35" s="1"/>
      <c r="L35" s="1" t="s">
        <v>56</v>
      </c>
      <c r="M35" s="1"/>
      <c r="N35" s="1"/>
      <c r="O35" s="1">
        <v>418.57477335453399</v>
      </c>
      <c r="P35" s="8">
        <f t="shared" si="1"/>
        <v>1250.7954445098735</v>
      </c>
      <c r="Q35" s="13">
        <v>1250.79</v>
      </c>
      <c r="AB35" s="1">
        <v>444</v>
      </c>
      <c r="AC35" s="2">
        <v>3150</v>
      </c>
      <c r="AD35" s="1" t="s">
        <v>61</v>
      </c>
      <c r="AE35" s="1"/>
      <c r="AF35" s="1"/>
      <c r="AG35" s="6">
        <v>751.45125748720898</v>
      </c>
      <c r="AH35" s="26">
        <f t="shared" si="3"/>
        <v>2389.7656226182344</v>
      </c>
      <c r="AI35" s="27">
        <v>3150</v>
      </c>
    </row>
    <row r="36" spans="1:35" ht="28.9" x14ac:dyDescent="0.3">
      <c r="A36" s="1">
        <v>9</v>
      </c>
      <c r="B36" s="1"/>
      <c r="C36" s="1" t="s">
        <v>6</v>
      </c>
      <c r="D36" s="1" t="s">
        <v>17</v>
      </c>
      <c r="E36" s="1" t="s">
        <v>15</v>
      </c>
      <c r="F36" s="1">
        <v>39.471152775860403</v>
      </c>
      <c r="G36" s="8">
        <f t="shared" si="0"/>
        <v>-46.345503662116045</v>
      </c>
      <c r="H36" s="13">
        <v>39.47</v>
      </c>
      <c r="J36" s="1">
        <v>540</v>
      </c>
      <c r="K36" s="1"/>
      <c r="L36" s="1" t="s">
        <v>56</v>
      </c>
      <c r="M36" s="1"/>
      <c r="N36" s="1"/>
      <c r="O36" s="1">
        <v>249.3298669861</v>
      </c>
      <c r="P36" s="8">
        <f t="shared" si="1"/>
        <v>671.70707287963978</v>
      </c>
      <c r="Q36" s="13">
        <v>671.71</v>
      </c>
      <c r="AB36" s="1">
        <v>445</v>
      </c>
      <c r="AC36" s="2">
        <v>1500</v>
      </c>
      <c r="AD36" s="1" t="s">
        <v>61</v>
      </c>
      <c r="AE36" s="1"/>
      <c r="AF36" s="1"/>
      <c r="AG36" s="6">
        <v>385.21250442872599</v>
      </c>
      <c r="AH36" s="26">
        <f t="shared" si="3"/>
        <v>1136.6431051533289</v>
      </c>
      <c r="AI36" s="27">
        <v>1500</v>
      </c>
    </row>
    <row r="37" spans="1:35" ht="28.9" x14ac:dyDescent="0.3">
      <c r="A37" s="1">
        <v>923</v>
      </c>
      <c r="B37" s="1"/>
      <c r="C37" s="1" t="s">
        <v>6</v>
      </c>
      <c r="D37" s="1" t="s">
        <v>17</v>
      </c>
      <c r="E37" s="1" t="s">
        <v>13</v>
      </c>
      <c r="F37" s="10">
        <v>180.17093740487601</v>
      </c>
      <c r="G37" s="11">
        <f t="shared" si="0"/>
        <v>435.07287942452388</v>
      </c>
      <c r="H37" s="15">
        <v>435.07</v>
      </c>
      <c r="J37" s="1">
        <v>541</v>
      </c>
      <c r="K37" s="1"/>
      <c r="L37" s="1" t="s">
        <v>56</v>
      </c>
      <c r="M37" s="1"/>
      <c r="N37" s="1"/>
      <c r="O37" s="1">
        <v>180.023284461712</v>
      </c>
      <c r="P37" s="8">
        <f t="shared" si="1"/>
        <v>434.56767011419379</v>
      </c>
      <c r="Q37" s="13">
        <v>434.57</v>
      </c>
      <c r="AB37" s="1">
        <v>446</v>
      </c>
      <c r="AC37" s="2">
        <v>1600</v>
      </c>
      <c r="AD37" s="1" t="s">
        <v>61</v>
      </c>
      <c r="AE37" s="1"/>
      <c r="AF37" s="1"/>
      <c r="AG37" s="6">
        <v>1012.17764559335</v>
      </c>
      <c r="AH37" s="26">
        <f t="shared" si="3"/>
        <v>3281.8670321622067</v>
      </c>
      <c r="AI37" s="27">
        <v>1600</v>
      </c>
    </row>
    <row r="38" spans="1:35" ht="28.9" x14ac:dyDescent="0.3">
      <c r="F38" s="8">
        <f>SUM(F3:F37)</f>
        <v>88873.907465753975</v>
      </c>
      <c r="G38" s="8">
        <f t="shared" ref="G38:H38" si="4">SUM(G3:G37)</f>
        <v>297741.96178482386</v>
      </c>
      <c r="H38" s="13">
        <f t="shared" si="4"/>
        <v>443220.43</v>
      </c>
      <c r="J38" s="1">
        <v>542</v>
      </c>
      <c r="K38" s="1"/>
      <c r="L38" s="1" t="s">
        <v>56</v>
      </c>
      <c r="M38" s="1"/>
      <c r="N38" s="1"/>
      <c r="O38" s="1">
        <v>116.335966893844</v>
      </c>
      <c r="P38" s="8">
        <f t="shared" si="1"/>
        <v>216.65514432397666</v>
      </c>
      <c r="Q38" s="13">
        <v>216.66</v>
      </c>
      <c r="AB38" s="1">
        <v>448</v>
      </c>
      <c r="AC38" s="22">
        <v>2500</v>
      </c>
      <c r="AD38" s="1" t="s">
        <v>61</v>
      </c>
      <c r="AE38" s="1"/>
      <c r="AF38" s="1"/>
      <c r="AG38" s="6">
        <v>3255.6278536060299</v>
      </c>
      <c r="AH38" s="26">
        <f t="shared" si="3"/>
        <v>10958.056263898394</v>
      </c>
      <c r="AI38" s="27">
        <v>10958.06</v>
      </c>
    </row>
    <row r="39" spans="1:35" ht="28.9" x14ac:dyDescent="0.3">
      <c r="J39" s="1">
        <v>543</v>
      </c>
      <c r="K39" s="2">
        <v>5000</v>
      </c>
      <c r="L39" s="1" t="s">
        <v>56</v>
      </c>
      <c r="M39" s="2"/>
      <c r="N39" s="1">
        <v>5</v>
      </c>
      <c r="O39" s="1">
        <v>970.78096820710596</v>
      </c>
      <c r="P39" s="8">
        <f t="shared" si="1"/>
        <v>3140.224160817434</v>
      </c>
      <c r="Q39" s="13">
        <v>5000</v>
      </c>
      <c r="AB39" s="1">
        <v>449</v>
      </c>
      <c r="AC39" s="2">
        <v>6980</v>
      </c>
      <c r="AD39" s="1" t="s">
        <v>61</v>
      </c>
      <c r="AE39" s="1"/>
      <c r="AF39" s="1"/>
      <c r="AG39" s="6">
        <v>1464.44091176701</v>
      </c>
      <c r="AH39" s="26">
        <f t="shared" si="3"/>
        <v>4829.3310237020023</v>
      </c>
      <c r="AI39" s="27">
        <v>6980</v>
      </c>
    </row>
    <row r="40" spans="1:35" ht="28.9" x14ac:dyDescent="0.3">
      <c r="C40" s="7" t="s">
        <v>54</v>
      </c>
      <c r="D40" s="7" t="s">
        <v>97</v>
      </c>
      <c r="E40" s="8" t="s">
        <v>96</v>
      </c>
      <c r="F40" s="8" t="s">
        <v>98</v>
      </c>
      <c r="J40" s="1">
        <v>544</v>
      </c>
      <c r="K40" s="1"/>
      <c r="L40" s="1" t="s">
        <v>56</v>
      </c>
      <c r="M40" s="1"/>
      <c r="N40" s="1"/>
      <c r="O40" s="1">
        <v>283.258664439401</v>
      </c>
      <c r="P40" s="8">
        <f t="shared" si="1"/>
        <v>787.79784624585454</v>
      </c>
      <c r="Q40" s="13">
        <v>787.8</v>
      </c>
      <c r="AB40" s="1">
        <v>450</v>
      </c>
      <c r="AC40" s="1"/>
      <c r="AD40" s="1" t="s">
        <v>61</v>
      </c>
      <c r="AE40" s="1"/>
      <c r="AF40" s="1"/>
      <c r="AG40" s="6">
        <v>372.701574790238</v>
      </c>
      <c r="AH40" s="26">
        <f t="shared" si="3"/>
        <v>1093.8357083022784</v>
      </c>
      <c r="AI40" s="27">
        <v>1093.8399999999999</v>
      </c>
    </row>
    <row r="41" spans="1:35" ht="28.9" x14ac:dyDescent="0.3">
      <c r="B41" s="8" t="s">
        <v>17</v>
      </c>
      <c r="C41" s="8">
        <f>F37+F36+F35+F30+F20+F19+F16+F15</f>
        <v>1967.4898991352241</v>
      </c>
      <c r="D41" s="8">
        <f>C41/88873.9075*100</f>
        <v>2.2137992516366225</v>
      </c>
      <c r="E41" s="8">
        <f>H37+H36+H35+H30+H20+H19+H16+H15</f>
        <v>5035.6400000000003</v>
      </c>
      <c r="F41" s="8">
        <f>E41/443220.43*100</f>
        <v>1.1361479884850976</v>
      </c>
      <c r="J41" s="1">
        <v>551</v>
      </c>
      <c r="K41" s="1"/>
      <c r="L41" s="1" t="s">
        <v>56</v>
      </c>
      <c r="M41" s="1"/>
      <c r="N41" s="1"/>
      <c r="O41" s="1">
        <v>104.977295583989</v>
      </c>
      <c r="P41" s="8">
        <f t="shared" si="1"/>
        <v>177.79031457017678</v>
      </c>
      <c r="Q41" s="13">
        <v>177.79</v>
      </c>
      <c r="AB41" s="1">
        <v>451</v>
      </c>
      <c r="AC41" s="1"/>
      <c r="AD41" s="1" t="s">
        <v>61</v>
      </c>
      <c r="AE41" s="1"/>
      <c r="AF41" s="1"/>
      <c r="AG41" s="6">
        <v>976.37192129853497</v>
      </c>
      <c r="AH41" s="26">
        <f t="shared" si="3"/>
        <v>3159.3541659150674</v>
      </c>
      <c r="AI41" s="27">
        <v>3159.35</v>
      </c>
    </row>
    <row r="42" spans="1:35" ht="28.9" x14ac:dyDescent="0.3">
      <c r="B42" s="8" t="s">
        <v>14</v>
      </c>
      <c r="C42" s="8">
        <f>F34+F32+F29+F27+F26+F24+F21+F17+F14+F7+F6+F9</f>
        <v>3771.9448008591371</v>
      </c>
      <c r="D42" s="8">
        <f t="shared" ref="D42:D45" si="5">C42/88873.9075*100</f>
        <v>4.2441532132016775</v>
      </c>
      <c r="E42" s="8">
        <f>H34+H32+H29+H27+H26+H24+H21+H17+H14+H7+H6+H9</f>
        <v>10188.68</v>
      </c>
      <c r="F42" s="8">
        <f t="shared" ref="F42:F45" si="6">E42/443220.43*100</f>
        <v>2.2987839256416951</v>
      </c>
      <c r="J42" s="1">
        <v>552</v>
      </c>
      <c r="K42" s="1"/>
      <c r="L42" s="1" t="s">
        <v>56</v>
      </c>
      <c r="M42" s="1"/>
      <c r="N42" s="1"/>
      <c r="O42" s="1">
        <v>140.30712358711301</v>
      </c>
      <c r="P42" s="8">
        <f t="shared" si="1"/>
        <v>298.67485406566595</v>
      </c>
      <c r="Q42" s="13">
        <v>298.67</v>
      </c>
      <c r="AB42" s="1">
        <v>452</v>
      </c>
      <c r="AC42" s="22">
        <v>7000</v>
      </c>
      <c r="AD42" s="1" t="s">
        <v>61</v>
      </c>
      <c r="AE42" s="1"/>
      <c r="AF42" s="1"/>
      <c r="AG42" s="6">
        <v>3219.3266790052899</v>
      </c>
      <c r="AH42" s="26">
        <f t="shared" si="3"/>
        <v>10833.848164884501</v>
      </c>
      <c r="AI42" s="27">
        <v>10833.85</v>
      </c>
    </row>
    <row r="43" spans="1:35" ht="28.9" x14ac:dyDescent="0.3">
      <c r="B43" s="8" t="s">
        <v>12</v>
      </c>
      <c r="C43" s="8">
        <f>F33+F13+F11+F5+F4</f>
        <v>1285.9977603319821</v>
      </c>
      <c r="D43" s="8">
        <f t="shared" si="5"/>
        <v>1.4469913572011921</v>
      </c>
      <c r="E43" s="8">
        <f>H33+H13+H11+H5+H4</f>
        <v>3519.95</v>
      </c>
      <c r="F43" s="8">
        <f t="shared" si="6"/>
        <v>0.79417593633939654</v>
      </c>
      <c r="J43" s="1">
        <v>553</v>
      </c>
      <c r="K43" s="1"/>
      <c r="L43" s="1" t="s">
        <v>56</v>
      </c>
      <c r="M43" s="1"/>
      <c r="N43" s="1"/>
      <c r="O43" s="1">
        <v>214.986043175286</v>
      </c>
      <c r="P43" s="8">
        <f t="shared" si="1"/>
        <v>554.19624532855869</v>
      </c>
      <c r="Q43" s="13">
        <v>554.20000000000005</v>
      </c>
      <c r="AB43" s="1">
        <v>453</v>
      </c>
      <c r="AC43" s="1"/>
      <c r="AD43" s="1" t="s">
        <v>61</v>
      </c>
      <c r="AE43" s="1"/>
      <c r="AF43" s="1"/>
      <c r="AG43" s="6">
        <v>717.97319749603298</v>
      </c>
      <c r="AH43" s="26">
        <f t="shared" si="3"/>
        <v>2275.2170925524265</v>
      </c>
      <c r="AI43" s="27">
        <v>2275.2199999999998</v>
      </c>
    </row>
    <row r="44" spans="1:35" ht="28.9" x14ac:dyDescent="0.3">
      <c r="B44" s="8" t="s">
        <v>100</v>
      </c>
      <c r="C44" s="8">
        <f>F3</f>
        <v>66412.282670603206</v>
      </c>
      <c r="D44" s="8">
        <f t="shared" si="5"/>
        <v>74.726412440685365</v>
      </c>
      <c r="E44" s="8">
        <f>H3</f>
        <v>380000</v>
      </c>
      <c r="F44" s="8">
        <f t="shared" si="6"/>
        <v>85.7361200610721</v>
      </c>
      <c r="J44" s="1">
        <v>554</v>
      </c>
      <c r="K44" s="1"/>
      <c r="L44" s="1" t="s">
        <v>56</v>
      </c>
      <c r="M44" s="1"/>
      <c r="N44" s="1"/>
      <c r="O44" s="1">
        <v>502.28661205049798</v>
      </c>
      <c r="P44" s="8">
        <f t="shared" si="1"/>
        <v>1537.2238717919838</v>
      </c>
      <c r="Q44" s="13">
        <v>1537.22</v>
      </c>
      <c r="AB44" s="1">
        <v>454</v>
      </c>
      <c r="AC44" s="2">
        <v>10000</v>
      </c>
      <c r="AD44" s="1" t="s">
        <v>61</v>
      </c>
      <c r="AE44" s="1"/>
      <c r="AF44" s="1"/>
      <c r="AG44" s="6">
        <v>2263.1991776150899</v>
      </c>
      <c r="AH44" s="26">
        <f t="shared" si="3"/>
        <v>7562.3623061277922</v>
      </c>
      <c r="AI44" s="27">
        <v>10000</v>
      </c>
    </row>
    <row r="45" spans="1:35" ht="28.9" x14ac:dyDescent="0.3">
      <c r="B45" s="20" t="s">
        <v>99</v>
      </c>
      <c r="C45" s="8">
        <f>F31+F28+F25+F23+F22+F18+F12+F10+F8</f>
        <v>15436.192334824465</v>
      </c>
      <c r="D45" s="8">
        <f t="shared" si="5"/>
        <v>17.368643698741913</v>
      </c>
      <c r="E45" s="8">
        <f>H31+H28+H25+H23+H22+H18+H12+H10+H8</f>
        <v>44476.160000000003</v>
      </c>
      <c r="F45" s="8">
        <f t="shared" si="6"/>
        <v>10.034772088461716</v>
      </c>
      <c r="J45" s="1">
        <v>555</v>
      </c>
      <c r="K45" s="1"/>
      <c r="L45" s="1" t="s">
        <v>56</v>
      </c>
      <c r="M45" s="1"/>
      <c r="N45" s="1"/>
      <c r="O45" s="1">
        <v>518.69814477159696</v>
      </c>
      <c r="P45" s="8">
        <f t="shared" si="1"/>
        <v>1593.3775721504962</v>
      </c>
      <c r="Q45" s="13">
        <v>1593.38</v>
      </c>
      <c r="AB45" s="1">
        <v>455</v>
      </c>
      <c r="AC45" s="1"/>
      <c r="AD45" s="1" t="s">
        <v>61</v>
      </c>
      <c r="AE45" s="1"/>
      <c r="AF45" s="1"/>
      <c r="AG45" s="6">
        <v>307.63723512507801</v>
      </c>
      <c r="AH45" s="26">
        <f t="shared" si="3"/>
        <v>871.21156370396704</v>
      </c>
      <c r="AI45" s="27">
        <v>871.21</v>
      </c>
    </row>
    <row r="46" spans="1:35" ht="28.9" x14ac:dyDescent="0.3">
      <c r="B46" s="20" t="s">
        <v>43</v>
      </c>
      <c r="C46" s="8">
        <f>SUM(C41:C45)</f>
        <v>88873.907465754004</v>
      </c>
      <c r="D46" s="8">
        <f t="shared" ref="D46:F46" si="7">SUM(D41:D45)</f>
        <v>99.999999961466784</v>
      </c>
      <c r="E46" s="8">
        <f t="shared" si="7"/>
        <v>443220.43000000005</v>
      </c>
      <c r="F46" s="8">
        <f t="shared" si="7"/>
        <v>100.00000000000001</v>
      </c>
      <c r="J46" s="1">
        <v>558</v>
      </c>
      <c r="K46" s="2">
        <v>1200</v>
      </c>
      <c r="L46" s="1" t="s">
        <v>56</v>
      </c>
      <c r="M46" s="2"/>
      <c r="N46" s="1">
        <v>6</v>
      </c>
      <c r="O46" s="1">
        <v>225.314301124715</v>
      </c>
      <c r="P46" s="8">
        <f t="shared" si="1"/>
        <v>589.5354127283249</v>
      </c>
      <c r="Q46" s="13">
        <v>1200</v>
      </c>
      <c r="AB46" s="1">
        <v>460</v>
      </c>
      <c r="AC46" s="1">
        <v>600</v>
      </c>
      <c r="AD46" s="1" t="s">
        <v>61</v>
      </c>
      <c r="AE46" s="1"/>
      <c r="AF46" s="1"/>
      <c r="AG46" s="6">
        <v>538.11732743130494</v>
      </c>
      <c r="AH46" s="26">
        <f t="shared" si="3"/>
        <v>1659.822247538953</v>
      </c>
      <c r="AI46" s="27">
        <v>600</v>
      </c>
    </row>
    <row r="47" spans="1:35" ht="28.9" x14ac:dyDescent="0.3">
      <c r="J47" s="1">
        <v>560</v>
      </c>
      <c r="K47" s="1"/>
      <c r="L47" s="1" t="s">
        <v>56</v>
      </c>
      <c r="M47" s="1"/>
      <c r="N47" s="1"/>
      <c r="O47" s="1">
        <v>83.800434589203505</v>
      </c>
      <c r="P47" s="8">
        <f t="shared" si="1"/>
        <v>105.33156699041874</v>
      </c>
      <c r="Q47" s="13">
        <v>105.33</v>
      </c>
      <c r="AB47" s="1">
        <v>463</v>
      </c>
      <c r="AC47" s="2">
        <v>4000</v>
      </c>
      <c r="AD47" s="1" t="s">
        <v>61</v>
      </c>
      <c r="AE47" s="1"/>
      <c r="AF47" s="1"/>
      <c r="AG47" s="6">
        <v>1741.34982900657</v>
      </c>
      <c r="AH47" s="26">
        <f t="shared" si="3"/>
        <v>5776.8025749288809</v>
      </c>
      <c r="AI47" s="27">
        <v>5776.8</v>
      </c>
    </row>
    <row r="48" spans="1:35" ht="28.9" x14ac:dyDescent="0.3">
      <c r="J48" s="1">
        <v>883</v>
      </c>
      <c r="K48" s="1"/>
      <c r="L48" s="1" t="s">
        <v>56</v>
      </c>
      <c r="M48" s="1"/>
      <c r="N48" s="1" t="s">
        <v>13</v>
      </c>
      <c r="O48" s="1">
        <v>71.473262333824096</v>
      </c>
      <c r="P48" s="8">
        <f t="shared" si="1"/>
        <v>63.152914401412545</v>
      </c>
      <c r="Q48" s="13">
        <v>71.47</v>
      </c>
      <c r="AB48" s="1">
        <v>465</v>
      </c>
      <c r="AC48" s="21">
        <v>160</v>
      </c>
      <c r="AD48" s="1" t="s">
        <v>61</v>
      </c>
      <c r="AE48" s="1"/>
      <c r="AF48" s="1"/>
      <c r="AG48" s="6">
        <v>234.42681772318099</v>
      </c>
      <c r="AH48" s="26">
        <f t="shared" si="3"/>
        <v>620.71479952163611</v>
      </c>
      <c r="AI48" s="27">
        <v>620.72</v>
      </c>
    </row>
    <row r="49" spans="10:35" ht="28.9" x14ac:dyDescent="0.3">
      <c r="J49" s="1">
        <v>918</v>
      </c>
      <c r="K49" s="1"/>
      <c r="L49" s="1" t="s">
        <v>56</v>
      </c>
      <c r="M49" s="1"/>
      <c r="N49" s="1"/>
      <c r="O49" s="10">
        <v>79.568972004446394</v>
      </c>
      <c r="P49" s="11">
        <f t="shared" si="1"/>
        <v>90.853194610413794</v>
      </c>
      <c r="Q49" s="13">
        <v>90.85</v>
      </c>
      <c r="AB49" s="1">
        <v>466</v>
      </c>
      <c r="AC49" s="1"/>
      <c r="AD49" s="1" t="s">
        <v>61</v>
      </c>
      <c r="AE49" s="1"/>
      <c r="AF49" s="1"/>
      <c r="AG49" s="6">
        <v>1200.8453927794601</v>
      </c>
      <c r="AH49" s="26">
        <f t="shared" si="3"/>
        <v>3927.4125959342005</v>
      </c>
      <c r="AI49" s="27">
        <v>3927.41</v>
      </c>
    </row>
    <row r="50" spans="10:35" ht="28.9" x14ac:dyDescent="0.3">
      <c r="J50" s="5"/>
      <c r="K50" s="5"/>
      <c r="L50" s="5"/>
      <c r="M50" s="5"/>
      <c r="N50" s="5"/>
      <c r="O50" s="8">
        <f>SUM(O3:O49)</f>
        <v>18133.594994462197</v>
      </c>
      <c r="P50" s="20">
        <f>SUM(P3:P49)</f>
        <v>53520.108633051866</v>
      </c>
      <c r="Q50" s="28">
        <f>SUM(Q3:Q49)</f>
        <v>53608.999999999993</v>
      </c>
      <c r="AB50" s="1">
        <v>467</v>
      </c>
      <c r="AC50" s="2">
        <v>2000</v>
      </c>
      <c r="AD50" s="1" t="s">
        <v>61</v>
      </c>
      <c r="AE50" s="1"/>
      <c r="AF50" s="1"/>
      <c r="AG50" s="6">
        <v>446.28689319262298</v>
      </c>
      <c r="AH50" s="26">
        <f t="shared" si="3"/>
        <v>1345.6152337478788</v>
      </c>
      <c r="AI50" s="27">
        <v>2000</v>
      </c>
    </row>
    <row r="51" spans="10:35" ht="28.9" x14ac:dyDescent="0.3">
      <c r="AB51" s="1">
        <v>468</v>
      </c>
      <c r="AC51" s="21">
        <v>240</v>
      </c>
      <c r="AD51" s="1" t="s">
        <v>61</v>
      </c>
      <c r="AE51" s="1"/>
      <c r="AF51" s="1"/>
      <c r="AG51" s="6">
        <v>256.63631076000797</v>
      </c>
      <c r="AH51" s="26">
        <f t="shared" si="3"/>
        <v>696.70680089644338</v>
      </c>
      <c r="AI51" s="27">
        <v>696.71</v>
      </c>
    </row>
    <row r="52" spans="10:35" ht="28.9" x14ac:dyDescent="0.3">
      <c r="AB52" s="1">
        <v>469</v>
      </c>
      <c r="AC52" s="1"/>
      <c r="AD52" s="1" t="s">
        <v>61</v>
      </c>
      <c r="AE52" s="1"/>
      <c r="AF52" s="1"/>
      <c r="AG52" s="6">
        <v>376.72572887894302</v>
      </c>
      <c r="AH52" s="26">
        <f t="shared" si="3"/>
        <v>1107.6047539321914</v>
      </c>
      <c r="AI52" s="27">
        <v>1107.5999999999999</v>
      </c>
    </row>
    <row r="53" spans="10:35" ht="28.9" x14ac:dyDescent="0.3">
      <c r="AB53" s="1">
        <v>473</v>
      </c>
      <c r="AC53" s="1"/>
      <c r="AD53" s="1" t="s">
        <v>61</v>
      </c>
      <c r="AE53" s="1"/>
      <c r="AF53" s="1"/>
      <c r="AG53" s="6">
        <v>159.08052886758901</v>
      </c>
      <c r="AH53" s="26">
        <f t="shared" si="3"/>
        <v>362.90993757334263</v>
      </c>
      <c r="AI53" s="27">
        <v>362.91</v>
      </c>
    </row>
    <row r="54" spans="10:35" ht="28.9" x14ac:dyDescent="0.3">
      <c r="AB54" s="1">
        <v>494</v>
      </c>
      <c r="AC54" s="1"/>
      <c r="AD54" s="1" t="s">
        <v>61</v>
      </c>
      <c r="AE54" s="1"/>
      <c r="AF54" s="1"/>
      <c r="AG54" s="6">
        <v>247.44771545182201</v>
      </c>
      <c r="AH54" s="26">
        <f t="shared" si="3"/>
        <v>665.26710318995424</v>
      </c>
      <c r="AI54" s="27">
        <v>665.27</v>
      </c>
    </row>
    <row r="55" spans="10:35" ht="28.9" x14ac:dyDescent="0.3">
      <c r="AB55" s="1">
        <v>497</v>
      </c>
      <c r="AC55" s="22">
        <v>3300</v>
      </c>
      <c r="AD55" s="1" t="s">
        <v>61</v>
      </c>
      <c r="AE55" s="1"/>
      <c r="AF55" s="1"/>
      <c r="AG55" s="6">
        <v>801.71054698146895</v>
      </c>
      <c r="AH55" s="26">
        <f t="shared" si="3"/>
        <v>2561.7328075517944</v>
      </c>
      <c r="AI55" s="27">
        <v>2561.73</v>
      </c>
    </row>
    <row r="56" spans="10:35" ht="28.9" x14ac:dyDescent="0.3">
      <c r="AB56" s="1">
        <v>500</v>
      </c>
      <c r="AC56" s="2">
        <v>2200</v>
      </c>
      <c r="AD56" s="1" t="s">
        <v>61</v>
      </c>
      <c r="AE56" s="1"/>
      <c r="AF56" s="1"/>
      <c r="AG56" s="6">
        <v>642.51486827365795</v>
      </c>
      <c r="AH56" s="26">
        <f t="shared" si="3"/>
        <v>2017.0288732851482</v>
      </c>
      <c r="AI56" s="27">
        <v>2200</v>
      </c>
    </row>
    <row r="57" spans="10:35" ht="28.9" x14ac:dyDescent="0.3">
      <c r="AB57" s="1">
        <v>505</v>
      </c>
      <c r="AC57" s="1">
        <v>200</v>
      </c>
      <c r="AD57" s="1" t="s">
        <v>61</v>
      </c>
      <c r="AE57" s="1"/>
      <c r="AF57" s="1"/>
      <c r="AG57" s="6">
        <v>378.65911066687897</v>
      </c>
      <c r="AH57" s="26">
        <f t="shared" si="3"/>
        <v>1114.220013057793</v>
      </c>
      <c r="AI57" s="27">
        <v>1114.22</v>
      </c>
    </row>
    <row r="58" spans="10:35" ht="28.9" x14ac:dyDescent="0.3">
      <c r="AB58" s="1">
        <v>506</v>
      </c>
      <c r="AC58" s="1"/>
      <c r="AD58" s="1" t="s">
        <v>61</v>
      </c>
      <c r="AE58" s="1"/>
      <c r="AF58" s="1"/>
      <c r="AG58" s="6">
        <v>673.20479825095299</v>
      </c>
      <c r="AH58" s="26">
        <f t="shared" si="3"/>
        <v>2122.0375376954607</v>
      </c>
      <c r="AI58" s="27">
        <v>2122.04</v>
      </c>
    </row>
    <row r="59" spans="10:35" ht="28.9" x14ac:dyDescent="0.3">
      <c r="AB59" s="1">
        <v>507</v>
      </c>
      <c r="AC59" s="2">
        <v>5000</v>
      </c>
      <c r="AD59" s="1" t="s">
        <v>61</v>
      </c>
      <c r="AE59" s="1"/>
      <c r="AF59" s="1"/>
      <c r="AG59" s="6">
        <v>1638.9784304316499</v>
      </c>
      <c r="AH59" s="26">
        <f t="shared" si="3"/>
        <v>5426.528597564934</v>
      </c>
      <c r="AI59" s="27">
        <v>5000</v>
      </c>
    </row>
    <row r="60" spans="10:35" ht="28.9" x14ac:dyDescent="0.3">
      <c r="AB60" s="1">
        <v>508</v>
      </c>
      <c r="AC60" s="22">
        <v>2200</v>
      </c>
      <c r="AD60" s="1" t="s">
        <v>61</v>
      </c>
      <c r="AE60" s="1"/>
      <c r="AF60" s="1"/>
      <c r="AG60" s="6">
        <v>505.545882506429</v>
      </c>
      <c r="AH60" s="26">
        <f t="shared" si="3"/>
        <v>1548.3757915839974</v>
      </c>
      <c r="AI60" s="27">
        <v>1548.38</v>
      </c>
    </row>
    <row r="61" spans="10:35" ht="28.9" x14ac:dyDescent="0.3">
      <c r="AB61" s="1">
        <v>510</v>
      </c>
      <c r="AC61" s="1"/>
      <c r="AD61" s="1" t="s">
        <v>61</v>
      </c>
      <c r="AE61" s="1"/>
      <c r="AF61" s="1"/>
      <c r="AG61" s="6">
        <v>187.05625655401599</v>
      </c>
      <c r="AH61" s="26">
        <f t="shared" si="3"/>
        <v>458.63168742522112</v>
      </c>
      <c r="AI61" s="27">
        <v>458.63</v>
      </c>
    </row>
    <row r="62" spans="10:35" ht="28.9" x14ac:dyDescent="0.3">
      <c r="AB62" s="1">
        <v>511</v>
      </c>
      <c r="AC62" s="1"/>
      <c r="AD62" s="1" t="s">
        <v>61</v>
      </c>
      <c r="AE62" s="1"/>
      <c r="AF62" s="1"/>
      <c r="AG62" s="6">
        <v>173.41082124540199</v>
      </c>
      <c r="AH62" s="26">
        <f t="shared" si="3"/>
        <v>411.94246597326753</v>
      </c>
      <c r="AI62" s="27">
        <v>411.94</v>
      </c>
    </row>
    <row r="63" spans="10:35" ht="28.9" x14ac:dyDescent="0.3">
      <c r="AB63" s="1">
        <v>587</v>
      </c>
      <c r="AC63" s="1"/>
      <c r="AD63" s="1" t="s">
        <v>61</v>
      </c>
      <c r="AE63" s="1"/>
      <c r="AF63" s="1"/>
      <c r="AG63" s="16">
        <v>43.606041976942102</v>
      </c>
      <c r="AH63" s="26">
        <f t="shared" si="3"/>
        <v>-32.197566771694909</v>
      </c>
      <c r="AI63" s="28">
        <v>43.61</v>
      </c>
    </row>
    <row r="64" spans="10:35" ht="14.45" x14ac:dyDescent="0.3">
      <c r="AB64" s="5"/>
      <c r="AC64" s="5"/>
      <c r="AD64" s="5"/>
      <c r="AE64" s="5"/>
      <c r="AF64" s="5"/>
      <c r="AG64" s="8">
        <f>SUM(AG3:AG63)</f>
        <v>61278.38366180296</v>
      </c>
      <c r="AH64" s="8">
        <f t="shared" ref="AH64:AI64" si="8">SUM(AH3:AH63)</f>
        <v>198604.71753722508</v>
      </c>
      <c r="AI64" s="28">
        <f t="shared" si="8"/>
        <v>210007.45</v>
      </c>
    </row>
  </sheetData>
  <mergeCells count="4">
    <mergeCell ref="A1:H1"/>
    <mergeCell ref="J1:Q1"/>
    <mergeCell ref="S1:Z1"/>
    <mergeCell ref="AB1:AI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workbookViewId="0">
      <selection activeCell="Q10" sqref="Q10"/>
    </sheetView>
  </sheetViews>
  <sheetFormatPr baseColWidth="10" defaultRowHeight="15" x14ac:dyDescent="0.25"/>
  <sheetData>
    <row r="1" spans="1:53" x14ac:dyDescent="0.25">
      <c r="A1" s="60" t="s">
        <v>52</v>
      </c>
      <c r="B1" s="60"/>
      <c r="C1" s="60"/>
      <c r="D1" s="60"/>
      <c r="E1" s="60"/>
      <c r="F1" s="60"/>
      <c r="G1" s="60"/>
      <c r="H1" s="60"/>
      <c r="J1" s="60" t="s">
        <v>52</v>
      </c>
      <c r="K1" s="60"/>
      <c r="L1" s="60"/>
      <c r="M1" s="60"/>
      <c r="N1" s="60"/>
      <c r="O1" s="60"/>
      <c r="P1" s="60"/>
      <c r="Q1" s="60"/>
      <c r="S1" s="60" t="s">
        <v>52</v>
      </c>
      <c r="T1" s="60"/>
      <c r="U1" s="60"/>
      <c r="V1" s="60"/>
      <c r="W1" s="60"/>
      <c r="X1" s="60"/>
      <c r="Y1" s="60"/>
      <c r="Z1" s="60"/>
      <c r="AB1" s="60" t="s">
        <v>52</v>
      </c>
      <c r="AC1" s="60"/>
      <c r="AD1" s="60"/>
      <c r="AE1" s="60"/>
      <c r="AF1" s="60"/>
      <c r="AG1" s="60"/>
      <c r="AH1" s="60"/>
      <c r="AI1" s="60"/>
      <c r="AK1" s="60" t="s">
        <v>52</v>
      </c>
      <c r="AL1" s="60"/>
      <c r="AM1" s="60"/>
      <c r="AN1" s="60"/>
      <c r="AO1" s="60"/>
      <c r="AP1" s="60"/>
      <c r="AQ1" s="60"/>
      <c r="AR1" s="60"/>
      <c r="AT1" s="60" t="s">
        <v>52</v>
      </c>
      <c r="AU1" s="60"/>
      <c r="AV1" s="60"/>
      <c r="AW1" s="60"/>
      <c r="AX1" s="60"/>
      <c r="AY1" s="60"/>
      <c r="AZ1" s="60"/>
      <c r="BA1" s="60"/>
    </row>
    <row r="2" spans="1:53" ht="28.9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85</v>
      </c>
      <c r="F2" s="1" t="s">
        <v>54</v>
      </c>
      <c r="G2" s="7" t="s">
        <v>41</v>
      </c>
      <c r="H2" s="12" t="s">
        <v>44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54</v>
      </c>
      <c r="P2" s="7" t="s">
        <v>41</v>
      </c>
      <c r="Q2" s="12" t="s">
        <v>44</v>
      </c>
      <c r="S2" s="1" t="s">
        <v>0</v>
      </c>
      <c r="T2" s="1" t="s">
        <v>1</v>
      </c>
      <c r="U2" s="1" t="s">
        <v>2</v>
      </c>
      <c r="V2" s="1" t="s">
        <v>3</v>
      </c>
      <c r="W2" s="1" t="s">
        <v>4</v>
      </c>
      <c r="X2" s="1" t="s">
        <v>54</v>
      </c>
      <c r="Y2" s="7" t="s">
        <v>41</v>
      </c>
      <c r="Z2" s="12" t="s">
        <v>44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85</v>
      </c>
      <c r="AG2" s="1" t="s">
        <v>54</v>
      </c>
      <c r="AH2" s="17" t="s">
        <v>41</v>
      </c>
      <c r="AI2" s="12" t="s">
        <v>42</v>
      </c>
      <c r="AK2" s="1" t="s">
        <v>0</v>
      </c>
      <c r="AL2" s="1" t="s">
        <v>1</v>
      </c>
      <c r="AM2" s="1" t="s">
        <v>2</v>
      </c>
      <c r="AN2" s="1" t="s">
        <v>3</v>
      </c>
      <c r="AO2" s="1" t="s">
        <v>4</v>
      </c>
      <c r="AP2" s="1" t="s">
        <v>54</v>
      </c>
      <c r="AQ2" s="7" t="s">
        <v>41</v>
      </c>
      <c r="AR2" s="12" t="s">
        <v>44</v>
      </c>
      <c r="AT2" s="1" t="s">
        <v>0</v>
      </c>
      <c r="AU2" s="1" t="s">
        <v>1</v>
      </c>
      <c r="AV2" s="1" t="s">
        <v>2</v>
      </c>
      <c r="AW2" s="1" t="s">
        <v>3</v>
      </c>
      <c r="AX2" s="1" t="s">
        <v>4</v>
      </c>
      <c r="AY2" s="1" t="s">
        <v>5</v>
      </c>
      <c r="AZ2" s="7" t="s">
        <v>41</v>
      </c>
      <c r="BA2" s="12" t="s">
        <v>44</v>
      </c>
    </row>
    <row r="3" spans="1:53" ht="14.45" x14ac:dyDescent="0.3">
      <c r="A3" s="1">
        <v>830</v>
      </c>
      <c r="B3" s="22">
        <v>1000</v>
      </c>
      <c r="C3" s="1" t="s">
        <v>90</v>
      </c>
      <c r="D3" s="1"/>
      <c r="E3" s="1"/>
      <c r="F3" s="1">
        <v>914.13066324687895</v>
      </c>
      <c r="G3" s="1">
        <f>3.4216*F3-181.4</f>
        <v>2946.3894773655211</v>
      </c>
      <c r="H3" s="30">
        <v>2946.39</v>
      </c>
      <c r="J3" s="1">
        <v>849</v>
      </c>
      <c r="K3" s="1"/>
      <c r="L3" s="1" t="s">
        <v>91</v>
      </c>
      <c r="M3" s="1"/>
      <c r="N3" s="1"/>
      <c r="O3" s="1">
        <v>252.111391903335</v>
      </c>
      <c r="P3" s="1">
        <f>3.4216*O3-181.4</f>
        <v>681.22433853645111</v>
      </c>
      <c r="Q3" s="30">
        <v>681.22</v>
      </c>
      <c r="S3" s="1">
        <v>864</v>
      </c>
      <c r="T3" s="21">
        <v>108</v>
      </c>
      <c r="U3" s="1" t="s">
        <v>92</v>
      </c>
      <c r="V3" s="1"/>
      <c r="W3" s="1"/>
      <c r="X3" s="1">
        <v>239.96061517508801</v>
      </c>
      <c r="Y3" s="1">
        <f>3.4216*X3-181.4</f>
        <v>639.64924088308123</v>
      </c>
      <c r="Z3" s="30">
        <v>639.65</v>
      </c>
      <c r="AB3" s="1">
        <v>796</v>
      </c>
      <c r="AC3" s="1"/>
      <c r="AD3" s="1" t="s">
        <v>93</v>
      </c>
      <c r="AE3" s="1"/>
      <c r="AF3" s="1"/>
      <c r="AG3" s="1">
        <v>272.38904062241198</v>
      </c>
      <c r="AH3" s="1">
        <f>3.4216*AG3-181.4</f>
        <v>750.60634139364493</v>
      </c>
      <c r="AI3" s="30">
        <v>750.61</v>
      </c>
      <c r="AK3" s="1">
        <v>550</v>
      </c>
      <c r="AL3" s="1"/>
      <c r="AM3" s="1" t="s">
        <v>94</v>
      </c>
      <c r="AN3" s="1"/>
      <c r="AO3" s="1"/>
      <c r="AP3" s="1">
        <v>473.15943375687101</v>
      </c>
      <c r="AQ3" s="1">
        <f>3.4216*AP3-181.4</f>
        <v>1437.56231854251</v>
      </c>
      <c r="AR3" s="30">
        <v>1437.56</v>
      </c>
      <c r="AT3" s="1">
        <v>561</v>
      </c>
      <c r="AU3" s="2">
        <v>2000</v>
      </c>
      <c r="AV3" s="1" t="s">
        <v>95</v>
      </c>
      <c r="AW3" s="1"/>
      <c r="AX3" s="1"/>
      <c r="AY3" s="1">
        <v>433.383326444506</v>
      </c>
      <c r="AZ3" s="1">
        <f>3.4216*AY3-181.4</f>
        <v>1301.4643897625217</v>
      </c>
      <c r="BA3" s="30">
        <v>2000</v>
      </c>
    </row>
    <row r="4" spans="1:53" ht="14.45" x14ac:dyDescent="0.3">
      <c r="A4" s="1">
        <v>831</v>
      </c>
      <c r="B4" s="1">
        <v>800</v>
      </c>
      <c r="C4" s="1" t="s">
        <v>90</v>
      </c>
      <c r="D4" s="1"/>
      <c r="E4" s="1"/>
      <c r="F4" s="1">
        <v>474.49523744204402</v>
      </c>
      <c r="G4" s="1">
        <f t="shared" ref="G4:G18" si="0">3.4216*F4-181.4</f>
        <v>1442.1329044316979</v>
      </c>
      <c r="H4" s="30">
        <v>800</v>
      </c>
      <c r="J4" s="1">
        <v>850</v>
      </c>
      <c r="K4" s="1"/>
      <c r="L4" s="1" t="s">
        <v>91</v>
      </c>
      <c r="M4" s="1"/>
      <c r="N4" s="1"/>
      <c r="O4" s="1">
        <v>844.26237231482503</v>
      </c>
      <c r="P4" s="1">
        <f t="shared" ref="P4:P14" si="1">3.4216*O4-181.4</f>
        <v>2707.3281331124053</v>
      </c>
      <c r="Q4" s="30">
        <v>2707.33</v>
      </c>
      <c r="S4" s="1">
        <v>865</v>
      </c>
      <c r="T4" s="21">
        <v>315</v>
      </c>
      <c r="U4" s="1" t="s">
        <v>92</v>
      </c>
      <c r="V4" s="1"/>
      <c r="W4" s="1"/>
      <c r="X4" s="1">
        <v>124.26071246763399</v>
      </c>
      <c r="Y4" s="1">
        <f t="shared" ref="Y4:Y12" si="2">3.4216*X4-181.4</f>
        <v>243.77045377925648</v>
      </c>
      <c r="Z4" s="30">
        <v>243.77</v>
      </c>
      <c r="AB4" s="1">
        <v>915</v>
      </c>
      <c r="AC4" s="1"/>
      <c r="AD4" s="1" t="s">
        <v>93</v>
      </c>
      <c r="AE4" s="1"/>
      <c r="AF4" s="1"/>
      <c r="AG4" s="1">
        <v>125.080302768213</v>
      </c>
      <c r="AH4" s="1">
        <f t="shared" ref="AH4:AH6" si="3">3.4216*AG4-181.4</f>
        <v>246.57476395171764</v>
      </c>
      <c r="AI4" s="30">
        <v>246.57</v>
      </c>
      <c r="AK4" s="1">
        <v>794</v>
      </c>
      <c r="AL4" s="21">
        <v>675</v>
      </c>
      <c r="AM4" s="1" t="s">
        <v>94</v>
      </c>
      <c r="AN4" s="1"/>
      <c r="AO4" s="1"/>
      <c r="AP4" s="1">
        <v>678.48281929177699</v>
      </c>
      <c r="AQ4" s="1">
        <f t="shared" ref="AQ4:AQ9" si="4">3.4216*AP4-181.4</f>
        <v>2140.0968144887443</v>
      </c>
      <c r="AR4" s="30">
        <v>2140.1</v>
      </c>
      <c r="AT4" s="1">
        <v>801</v>
      </c>
      <c r="AU4" s="22">
        <v>3000</v>
      </c>
      <c r="AV4" s="1" t="s">
        <v>95</v>
      </c>
      <c r="AW4" s="1"/>
      <c r="AX4" s="1"/>
      <c r="AY4" s="1">
        <v>1110.6437394267</v>
      </c>
      <c r="AZ4" s="1">
        <f t="shared" ref="AZ4:AZ10" si="5">3.4216*AY4-181.4</f>
        <v>3618.7786188223968</v>
      </c>
      <c r="BA4" s="30">
        <v>3618.78</v>
      </c>
    </row>
    <row r="5" spans="1:53" ht="14.45" x14ac:dyDescent="0.3">
      <c r="A5" s="1">
        <v>832</v>
      </c>
      <c r="B5" s="1"/>
      <c r="C5" s="1" t="s">
        <v>90</v>
      </c>
      <c r="D5" s="1"/>
      <c r="E5" s="1"/>
      <c r="F5" s="1">
        <v>92.890106074106995</v>
      </c>
      <c r="G5" s="1">
        <f t="shared" si="0"/>
        <v>136.43278694316453</v>
      </c>
      <c r="H5" s="30">
        <v>136.43</v>
      </c>
      <c r="J5" s="1">
        <v>855</v>
      </c>
      <c r="K5" s="1"/>
      <c r="L5" s="1" t="s">
        <v>91</v>
      </c>
      <c r="M5" s="1"/>
      <c r="N5" s="1"/>
      <c r="O5" s="1">
        <v>427.66420010627502</v>
      </c>
      <c r="P5" s="1">
        <f t="shared" si="1"/>
        <v>1281.8958270836306</v>
      </c>
      <c r="Q5" s="30">
        <v>1281.9000000000001</v>
      </c>
      <c r="S5" s="1">
        <v>868</v>
      </c>
      <c r="T5" s="1"/>
      <c r="U5" s="1" t="s">
        <v>92</v>
      </c>
      <c r="V5" s="1"/>
      <c r="W5" s="1"/>
      <c r="X5" s="1">
        <v>188.90043429342199</v>
      </c>
      <c r="Y5" s="1">
        <f t="shared" si="2"/>
        <v>464.9417259783728</v>
      </c>
      <c r="Z5" s="30">
        <v>464.94</v>
      </c>
      <c r="AB5" s="10">
        <v>916</v>
      </c>
      <c r="AC5" s="1"/>
      <c r="AD5" s="1" t="s">
        <v>93</v>
      </c>
      <c r="AE5" s="1"/>
      <c r="AF5" s="1"/>
      <c r="AG5" s="10">
        <v>44.131739476265601</v>
      </c>
      <c r="AH5" s="1">
        <f t="shared" si="3"/>
        <v>-30.398840208009631</v>
      </c>
      <c r="AI5" s="32">
        <v>44.13</v>
      </c>
      <c r="AK5" s="1">
        <v>795</v>
      </c>
      <c r="AL5" s="1"/>
      <c r="AM5" s="1" t="s">
        <v>94</v>
      </c>
      <c r="AN5" s="1"/>
      <c r="AO5" s="1"/>
      <c r="AP5" s="1">
        <v>185.31540962237801</v>
      </c>
      <c r="AQ5" s="1">
        <f t="shared" si="4"/>
        <v>452.67520556392867</v>
      </c>
      <c r="AR5" s="30">
        <v>452.68</v>
      </c>
      <c r="AT5" s="1">
        <v>805</v>
      </c>
      <c r="AU5" s="1"/>
      <c r="AV5" s="1" t="s">
        <v>95</v>
      </c>
      <c r="AW5" s="1"/>
      <c r="AX5" s="1"/>
      <c r="AY5" s="1">
        <v>171.91642408781601</v>
      </c>
      <c r="AZ5" s="1">
        <f t="shared" si="5"/>
        <v>406.82923665887131</v>
      </c>
      <c r="BA5" s="30">
        <v>406.83</v>
      </c>
    </row>
    <row r="6" spans="1:53" ht="14.45" x14ac:dyDescent="0.3">
      <c r="A6" s="1">
        <v>834</v>
      </c>
      <c r="B6" s="1"/>
      <c r="C6" s="1" t="s">
        <v>90</v>
      </c>
      <c r="D6" s="1"/>
      <c r="E6" s="1"/>
      <c r="F6" s="1">
        <v>201.86435257006301</v>
      </c>
      <c r="G6" s="1">
        <f t="shared" si="0"/>
        <v>509.29906875372762</v>
      </c>
      <c r="H6" s="30">
        <v>509.3</v>
      </c>
      <c r="J6" s="1">
        <v>856</v>
      </c>
      <c r="K6" s="1"/>
      <c r="L6" s="1" t="s">
        <v>91</v>
      </c>
      <c r="M6" s="1"/>
      <c r="N6" s="1"/>
      <c r="O6" s="1">
        <v>185.55311213673201</v>
      </c>
      <c r="P6" s="1">
        <f t="shared" si="1"/>
        <v>453.48852848704234</v>
      </c>
      <c r="Q6" s="30">
        <v>453.49</v>
      </c>
      <c r="S6" s="1">
        <v>869</v>
      </c>
      <c r="T6" s="1"/>
      <c r="U6" s="1" t="s">
        <v>92</v>
      </c>
      <c r="V6" s="1"/>
      <c r="W6" s="1"/>
      <c r="X6" s="1">
        <v>589.87287405074505</v>
      </c>
      <c r="Y6" s="1">
        <f t="shared" si="2"/>
        <v>1836.9090258520293</v>
      </c>
      <c r="Z6" s="30">
        <v>1836.91</v>
      </c>
      <c r="AB6" s="26">
        <v>917</v>
      </c>
      <c r="AC6" s="38"/>
      <c r="AD6" s="1" t="s">
        <v>93</v>
      </c>
      <c r="AE6" s="1"/>
      <c r="AF6" s="6"/>
      <c r="AG6" s="26">
        <v>640.36837579377698</v>
      </c>
      <c r="AH6" s="1">
        <f t="shared" si="3"/>
        <v>2009.6844346159874</v>
      </c>
      <c r="AI6" s="12">
        <v>2009.68</v>
      </c>
      <c r="AK6" s="1">
        <v>797</v>
      </c>
      <c r="AL6" s="1"/>
      <c r="AM6" s="1" t="s">
        <v>94</v>
      </c>
      <c r="AN6" s="1"/>
      <c r="AO6" s="1"/>
      <c r="AP6" s="1">
        <v>155.15763218543199</v>
      </c>
      <c r="AQ6" s="1">
        <f t="shared" si="4"/>
        <v>349.4873542856742</v>
      </c>
      <c r="AR6" s="30">
        <v>349.49</v>
      </c>
      <c r="AT6" s="1">
        <v>853</v>
      </c>
      <c r="AU6" s="2">
        <v>1350</v>
      </c>
      <c r="AV6" s="1" t="s">
        <v>95</v>
      </c>
      <c r="AW6" s="1"/>
      <c r="AX6" s="1"/>
      <c r="AY6" s="1">
        <v>594.55938259078198</v>
      </c>
      <c r="AZ6" s="1">
        <f t="shared" si="5"/>
        <v>1852.9443834726196</v>
      </c>
      <c r="BA6" s="30">
        <v>1350</v>
      </c>
    </row>
    <row r="7" spans="1:53" ht="14.45" x14ac:dyDescent="0.3">
      <c r="A7" s="1">
        <v>835</v>
      </c>
      <c r="B7" s="1"/>
      <c r="C7" s="1" t="s">
        <v>90</v>
      </c>
      <c r="D7" s="1"/>
      <c r="E7" s="1"/>
      <c r="F7" s="1">
        <v>274.30477923196298</v>
      </c>
      <c r="G7" s="1">
        <f t="shared" si="0"/>
        <v>757.16123262008466</v>
      </c>
      <c r="H7" s="30">
        <v>757.16</v>
      </c>
      <c r="J7" s="1">
        <v>857</v>
      </c>
      <c r="K7" s="1"/>
      <c r="L7" s="1" t="s">
        <v>91</v>
      </c>
      <c r="M7" s="1"/>
      <c r="N7" s="1"/>
      <c r="O7" s="1">
        <v>678.43139055387303</v>
      </c>
      <c r="P7" s="1">
        <f t="shared" si="1"/>
        <v>2139.9208459191318</v>
      </c>
      <c r="Q7" s="30">
        <v>2139.92</v>
      </c>
      <c r="S7" s="1">
        <v>870</v>
      </c>
      <c r="T7" s="21">
        <v>734</v>
      </c>
      <c r="U7" s="1" t="s">
        <v>92</v>
      </c>
      <c r="V7" s="1"/>
      <c r="W7" s="1"/>
      <c r="X7" s="1">
        <v>327.53676865864401</v>
      </c>
      <c r="Y7" s="1">
        <f t="shared" si="2"/>
        <v>939.29980764241634</v>
      </c>
      <c r="Z7" s="30">
        <v>939.3</v>
      </c>
      <c r="AB7" s="3"/>
      <c r="AC7" s="5"/>
      <c r="AD7" s="5"/>
      <c r="AE7" s="5"/>
      <c r="AF7" s="5"/>
      <c r="AG7" s="8">
        <f>SUM(AG3:AG6)</f>
        <v>1081.9694586606674</v>
      </c>
      <c r="AH7" s="8">
        <f t="shared" ref="AH7:AI7" si="6">SUM(AH3:AH6)</f>
        <v>2976.4666997533404</v>
      </c>
      <c r="AI7" s="13">
        <f t="shared" si="6"/>
        <v>3050.9900000000002</v>
      </c>
      <c r="AK7" s="1">
        <v>798</v>
      </c>
      <c r="AL7" s="1"/>
      <c r="AM7" s="1" t="s">
        <v>94</v>
      </c>
      <c r="AN7" s="1"/>
      <c r="AO7" s="1"/>
      <c r="AP7" s="1">
        <v>226.60437523863899</v>
      </c>
      <c r="AQ7" s="1">
        <f t="shared" si="4"/>
        <v>593.94953031652722</v>
      </c>
      <c r="AR7" s="30">
        <v>593.95000000000005</v>
      </c>
      <c r="AT7" s="1">
        <v>873</v>
      </c>
      <c r="AU7" s="1"/>
      <c r="AV7" s="1" t="s">
        <v>95</v>
      </c>
      <c r="AW7" s="1"/>
      <c r="AX7" s="1"/>
      <c r="AY7" s="1">
        <v>250.66614758612201</v>
      </c>
      <c r="AZ7" s="1">
        <f t="shared" si="5"/>
        <v>676.27929058067514</v>
      </c>
      <c r="BA7" s="30">
        <v>676.28</v>
      </c>
    </row>
    <row r="8" spans="1:53" ht="14.45" x14ac:dyDescent="0.3">
      <c r="A8" s="1">
        <v>836</v>
      </c>
      <c r="B8" s="1"/>
      <c r="C8" s="1" t="s">
        <v>90</v>
      </c>
      <c r="D8" s="1"/>
      <c r="E8" s="1"/>
      <c r="F8" s="1">
        <v>460.10114885909701</v>
      </c>
      <c r="G8" s="1">
        <f t="shared" si="0"/>
        <v>1392.8820909362864</v>
      </c>
      <c r="H8" s="30">
        <v>1392.88</v>
      </c>
      <c r="J8" s="1">
        <v>858</v>
      </c>
      <c r="K8" s="2">
        <v>3250</v>
      </c>
      <c r="L8" s="1" t="s">
        <v>91</v>
      </c>
      <c r="M8" s="1"/>
      <c r="N8" s="1"/>
      <c r="O8" s="1">
        <v>1798.1782647340001</v>
      </c>
      <c r="P8" s="1">
        <f t="shared" si="1"/>
        <v>5971.2467506138555</v>
      </c>
      <c r="Q8" s="30">
        <v>3250</v>
      </c>
      <c r="S8" s="1">
        <v>871</v>
      </c>
      <c r="T8" s="1"/>
      <c r="U8" s="1" t="s">
        <v>92</v>
      </c>
      <c r="V8" s="1"/>
      <c r="W8" s="1"/>
      <c r="X8" s="1">
        <v>130.51919491801399</v>
      </c>
      <c r="Y8" s="1">
        <f t="shared" si="2"/>
        <v>265.18447733147673</v>
      </c>
      <c r="Z8" s="30">
        <v>265.18</v>
      </c>
      <c r="AK8" s="1">
        <v>799</v>
      </c>
      <c r="AL8" s="1"/>
      <c r="AM8" s="1" t="s">
        <v>94</v>
      </c>
      <c r="AN8" s="1"/>
      <c r="AO8" s="1"/>
      <c r="AP8" s="1">
        <v>312.71816547841303</v>
      </c>
      <c r="AQ8" s="1">
        <f t="shared" si="4"/>
        <v>888.59647500093809</v>
      </c>
      <c r="AR8" s="30">
        <v>888.6</v>
      </c>
      <c r="AT8" s="1">
        <v>885</v>
      </c>
      <c r="AU8" s="1">
        <v>600</v>
      </c>
      <c r="AV8" s="1" t="s">
        <v>95</v>
      </c>
      <c r="AW8" s="1"/>
      <c r="AX8" s="1"/>
      <c r="AY8" s="1">
        <v>255.02186941549201</v>
      </c>
      <c r="AZ8" s="1">
        <f t="shared" si="5"/>
        <v>691.18282839204755</v>
      </c>
      <c r="BA8" s="30">
        <v>600</v>
      </c>
    </row>
    <row r="9" spans="1:53" ht="14.45" x14ac:dyDescent="0.3">
      <c r="A9" s="1">
        <v>837</v>
      </c>
      <c r="B9" s="1"/>
      <c r="C9" s="1" t="s">
        <v>90</v>
      </c>
      <c r="D9" s="1"/>
      <c r="E9" s="1"/>
      <c r="F9" s="1">
        <v>589.91503948697402</v>
      </c>
      <c r="G9" s="1">
        <f t="shared" si="0"/>
        <v>1837.0532991086304</v>
      </c>
      <c r="H9" s="30">
        <v>1837.05</v>
      </c>
      <c r="J9" s="1">
        <v>859</v>
      </c>
      <c r="K9" s="2">
        <v>1000</v>
      </c>
      <c r="L9" s="1" t="s">
        <v>91</v>
      </c>
      <c r="M9" s="1"/>
      <c r="N9" s="1"/>
      <c r="O9" s="1">
        <v>898.099456766667</v>
      </c>
      <c r="P9" s="1">
        <f t="shared" si="1"/>
        <v>2891.5371012728278</v>
      </c>
      <c r="Q9" s="30">
        <v>1000</v>
      </c>
      <c r="S9" s="1">
        <v>872</v>
      </c>
      <c r="T9" s="1"/>
      <c r="U9" s="1" t="s">
        <v>92</v>
      </c>
      <c r="V9" s="1"/>
      <c r="W9" s="1"/>
      <c r="X9" s="1">
        <v>191.354319572034</v>
      </c>
      <c r="Y9" s="1">
        <f t="shared" si="2"/>
        <v>473.33793984767158</v>
      </c>
      <c r="Z9" s="30">
        <v>473.34</v>
      </c>
      <c r="AK9" s="1">
        <v>800</v>
      </c>
      <c r="AL9" s="1"/>
      <c r="AM9" s="1" t="s">
        <v>94</v>
      </c>
      <c r="AN9" s="1"/>
      <c r="AO9" s="1"/>
      <c r="AP9" s="10">
        <v>1300.1642611551599</v>
      </c>
      <c r="AQ9" s="10">
        <f t="shared" si="4"/>
        <v>4267.2420359684957</v>
      </c>
      <c r="AR9" s="32">
        <v>4267.24</v>
      </c>
      <c r="AT9" s="1">
        <v>912</v>
      </c>
      <c r="AU9" s="1"/>
      <c r="AV9" s="1" t="s">
        <v>95</v>
      </c>
      <c r="AW9" s="1"/>
      <c r="AX9" s="1"/>
      <c r="AY9" s="1">
        <v>101.23533410894601</v>
      </c>
      <c r="AZ9" s="1">
        <f t="shared" si="5"/>
        <v>164.98681918716969</v>
      </c>
      <c r="BA9" s="30">
        <v>164.99</v>
      </c>
    </row>
    <row r="10" spans="1:53" ht="14.45" x14ac:dyDescent="0.3">
      <c r="A10" s="1">
        <v>838</v>
      </c>
      <c r="B10" s="21">
        <v>400</v>
      </c>
      <c r="C10" s="1" t="s">
        <v>90</v>
      </c>
      <c r="D10" s="1"/>
      <c r="E10" s="1"/>
      <c r="F10" s="1">
        <v>497.56753705785599</v>
      </c>
      <c r="G10" s="1">
        <f t="shared" si="0"/>
        <v>1521.0770847971601</v>
      </c>
      <c r="H10" s="30">
        <v>1521.08</v>
      </c>
      <c r="J10" s="1">
        <v>860</v>
      </c>
      <c r="K10" s="21">
        <v>90</v>
      </c>
      <c r="L10" s="1" t="s">
        <v>91</v>
      </c>
      <c r="M10" s="1"/>
      <c r="N10" s="1"/>
      <c r="O10" s="1">
        <v>174.20669569035701</v>
      </c>
      <c r="P10" s="1">
        <f t="shared" si="1"/>
        <v>414.66562997412564</v>
      </c>
      <c r="Q10" s="30">
        <v>414.67</v>
      </c>
      <c r="S10" s="1">
        <v>874</v>
      </c>
      <c r="T10" s="1"/>
      <c r="U10" s="1" t="s">
        <v>92</v>
      </c>
      <c r="V10" s="1"/>
      <c r="W10" s="1"/>
      <c r="X10" s="1">
        <v>437.13031265135203</v>
      </c>
      <c r="Y10" s="1">
        <f t="shared" si="2"/>
        <v>1314.2850777678661</v>
      </c>
      <c r="Z10" s="30">
        <v>1314.29</v>
      </c>
      <c r="AK10" s="5"/>
      <c r="AL10" s="5"/>
      <c r="AM10" s="5"/>
      <c r="AN10" s="5"/>
      <c r="AO10" s="5"/>
      <c r="AP10" s="8">
        <f>SUM(AP3:AP9)</f>
        <v>3331.6020967286699</v>
      </c>
      <c r="AQ10" s="8">
        <f t="shared" ref="AQ10:AR10" si="7">SUM(AQ3:AQ9)</f>
        <v>10129.609734166817</v>
      </c>
      <c r="AR10" s="13">
        <f t="shared" si="7"/>
        <v>10129.619999999999</v>
      </c>
      <c r="AT10" s="1">
        <v>914</v>
      </c>
      <c r="AU10" s="1"/>
      <c r="AV10" s="1" t="s">
        <v>95</v>
      </c>
      <c r="AW10" s="1"/>
      <c r="AX10" s="1"/>
      <c r="AY10" s="10">
        <v>249.59857441903799</v>
      </c>
      <c r="AZ10" s="1">
        <f t="shared" si="5"/>
        <v>672.62648223218048</v>
      </c>
      <c r="BA10" s="32">
        <v>672.63</v>
      </c>
    </row>
    <row r="11" spans="1:53" ht="14.45" x14ac:dyDescent="0.3">
      <c r="A11" s="1">
        <v>839</v>
      </c>
      <c r="B11" s="1"/>
      <c r="C11" s="1" t="s">
        <v>90</v>
      </c>
      <c r="D11" s="1"/>
      <c r="E11" s="1"/>
      <c r="F11" s="1">
        <v>528.38955364926903</v>
      </c>
      <c r="G11" s="1">
        <f t="shared" si="0"/>
        <v>1626.537696766339</v>
      </c>
      <c r="H11" s="30">
        <v>1626.54</v>
      </c>
      <c r="J11" s="1">
        <v>861</v>
      </c>
      <c r="K11" s="1"/>
      <c r="L11" s="1" t="s">
        <v>91</v>
      </c>
      <c r="M11" s="1"/>
      <c r="N11" s="1"/>
      <c r="O11" s="1">
        <v>105.74012125841099</v>
      </c>
      <c r="P11" s="1">
        <f t="shared" si="1"/>
        <v>180.40039889777907</v>
      </c>
      <c r="Q11" s="30">
        <v>180.4</v>
      </c>
      <c r="S11" s="10">
        <v>875</v>
      </c>
      <c r="T11" s="1"/>
      <c r="U11" s="1" t="s">
        <v>92</v>
      </c>
      <c r="V11" s="1"/>
      <c r="W11" s="1"/>
      <c r="X11" s="1">
        <v>637.50736317670601</v>
      </c>
      <c r="Y11" s="1">
        <f t="shared" si="2"/>
        <v>1999.8951938454175</v>
      </c>
      <c r="Z11" s="30">
        <v>1999.9</v>
      </c>
      <c r="AT11" s="5"/>
      <c r="AU11" s="5"/>
      <c r="AV11" s="5"/>
      <c r="AW11" s="5"/>
      <c r="AX11" s="5"/>
      <c r="AY11" s="8">
        <f>SUM(AY3:AY10)</f>
        <v>3167.024798079402</v>
      </c>
      <c r="AZ11" s="8">
        <f t="shared" ref="AZ11:BA11" si="8">SUM(AZ3:AZ10)</f>
        <v>9385.0920491084835</v>
      </c>
      <c r="BA11" s="13">
        <f t="shared" si="8"/>
        <v>9489.5099999999984</v>
      </c>
    </row>
    <row r="12" spans="1:53" ht="14.45" x14ac:dyDescent="0.3">
      <c r="A12" s="1">
        <v>844</v>
      </c>
      <c r="B12" s="21">
        <v>180</v>
      </c>
      <c r="C12" s="1" t="s">
        <v>90</v>
      </c>
      <c r="D12" s="1"/>
      <c r="E12" s="1"/>
      <c r="F12" s="1">
        <v>177.28210124603899</v>
      </c>
      <c r="G12" s="1">
        <f t="shared" si="0"/>
        <v>425.18843762344704</v>
      </c>
      <c r="H12" s="30">
        <v>425.19</v>
      </c>
      <c r="J12" s="1">
        <v>863</v>
      </c>
      <c r="K12" s="1"/>
      <c r="L12" s="1" t="s">
        <v>91</v>
      </c>
      <c r="M12" s="1"/>
      <c r="N12" s="1"/>
      <c r="O12" s="1">
        <v>71.176379303349705</v>
      </c>
      <c r="P12" s="1">
        <f t="shared" si="1"/>
        <v>62.137099424341358</v>
      </c>
      <c r="Q12" s="30">
        <v>71.180000000000007</v>
      </c>
      <c r="S12" s="26">
        <v>876</v>
      </c>
      <c r="T12" s="38"/>
      <c r="U12" s="1" t="s">
        <v>92</v>
      </c>
      <c r="V12" s="1"/>
      <c r="W12" s="1"/>
      <c r="X12" s="10">
        <v>3047.8305692099202</v>
      </c>
      <c r="Y12" s="1">
        <f t="shared" si="2"/>
        <v>10247.057075608664</v>
      </c>
      <c r="Z12" s="32">
        <v>10247.06</v>
      </c>
    </row>
    <row r="13" spans="1:53" ht="14.45" x14ac:dyDescent="0.3">
      <c r="A13" s="1">
        <v>845</v>
      </c>
      <c r="B13" s="1"/>
      <c r="C13" s="1" t="s">
        <v>90</v>
      </c>
      <c r="D13" s="1"/>
      <c r="E13" s="1"/>
      <c r="F13" s="1">
        <v>482.885866910196</v>
      </c>
      <c r="G13" s="1">
        <f t="shared" si="0"/>
        <v>1470.8422822199266</v>
      </c>
      <c r="H13" s="30">
        <v>1470.84</v>
      </c>
      <c r="J13" s="10">
        <v>866</v>
      </c>
      <c r="K13" s="1"/>
      <c r="L13" s="1" t="s">
        <v>91</v>
      </c>
      <c r="M13" s="1"/>
      <c r="N13" s="1"/>
      <c r="O13" s="1">
        <v>404.39876445546599</v>
      </c>
      <c r="P13" s="1">
        <f t="shared" si="1"/>
        <v>1202.2908124608225</v>
      </c>
      <c r="Q13" s="30">
        <v>1202.29</v>
      </c>
      <c r="S13" s="3"/>
      <c r="T13" s="5"/>
      <c r="U13" s="5"/>
      <c r="V13" s="5"/>
      <c r="W13" s="5"/>
      <c r="X13" s="8">
        <f>SUM(X3:X12)</f>
        <v>5914.8731641735594</v>
      </c>
      <c r="Y13" s="8">
        <f t="shared" ref="Y13:Z13" si="9">SUM(Y3:Y12)</f>
        <v>18424.330018536253</v>
      </c>
      <c r="Z13" s="13">
        <f t="shared" si="9"/>
        <v>18424.34</v>
      </c>
    </row>
    <row r="14" spans="1:53" ht="14.45" x14ac:dyDescent="0.3">
      <c r="A14" s="1">
        <v>846</v>
      </c>
      <c r="B14" s="2">
        <v>2500</v>
      </c>
      <c r="C14" s="1" t="s">
        <v>90</v>
      </c>
      <c r="D14" s="1"/>
      <c r="E14" s="1"/>
      <c r="F14" s="1">
        <v>572.904102706353</v>
      </c>
      <c r="G14" s="1">
        <f t="shared" si="0"/>
        <v>1778.8486778200574</v>
      </c>
      <c r="H14" s="30">
        <v>2500</v>
      </c>
      <c r="J14" s="26">
        <v>867</v>
      </c>
      <c r="K14" s="38"/>
      <c r="L14" s="1" t="s">
        <v>91</v>
      </c>
      <c r="M14" s="1"/>
      <c r="N14" s="1"/>
      <c r="O14" s="10">
        <v>535.48601371293501</v>
      </c>
      <c r="P14" s="1">
        <f t="shared" si="1"/>
        <v>1650.8189445201783</v>
      </c>
      <c r="Q14" s="32">
        <v>1650.82</v>
      </c>
    </row>
    <row r="15" spans="1:53" ht="14.45" x14ac:dyDescent="0.3">
      <c r="A15" s="1">
        <v>847</v>
      </c>
      <c r="B15" s="1"/>
      <c r="C15" s="1" t="s">
        <v>90</v>
      </c>
      <c r="D15" s="1"/>
      <c r="E15" s="1"/>
      <c r="F15" s="1">
        <v>96.924141242689899</v>
      </c>
      <c r="G15" s="1">
        <f t="shared" si="0"/>
        <v>150.23564167598775</v>
      </c>
      <c r="H15" s="30">
        <v>150.24</v>
      </c>
      <c r="J15" s="3"/>
      <c r="K15" s="5"/>
      <c r="L15" s="5"/>
      <c r="M15" s="5"/>
      <c r="N15" s="5"/>
      <c r="O15" s="8">
        <f>SUM(O3:O14)</f>
        <v>6375.3081629362268</v>
      </c>
      <c r="P15" s="8">
        <f t="shared" ref="P15:Q15" si="10">SUM(P3:P14)</f>
        <v>19636.954410302591</v>
      </c>
      <c r="Q15" s="13">
        <f t="shared" si="10"/>
        <v>15033.220000000001</v>
      </c>
    </row>
    <row r="16" spans="1:53" ht="14.45" x14ac:dyDescent="0.3">
      <c r="A16" s="1">
        <v>848</v>
      </c>
      <c r="B16" s="1"/>
      <c r="C16" s="1" t="s">
        <v>90</v>
      </c>
      <c r="D16" s="1"/>
      <c r="E16" s="1"/>
      <c r="F16" s="1">
        <v>818.10506287348198</v>
      </c>
      <c r="G16" s="1">
        <f t="shared" si="0"/>
        <v>2617.8282831279062</v>
      </c>
      <c r="H16" s="30">
        <v>2617.83</v>
      </c>
    </row>
    <row r="17" spans="1:8" ht="14.45" x14ac:dyDescent="0.3">
      <c r="A17" s="10">
        <v>851</v>
      </c>
      <c r="B17" s="2">
        <v>2000</v>
      </c>
      <c r="C17" s="1" t="s">
        <v>90</v>
      </c>
      <c r="D17" s="1"/>
      <c r="E17" s="1"/>
      <c r="F17" s="1">
        <v>1058.76008734415</v>
      </c>
      <c r="G17" s="1">
        <f t="shared" si="0"/>
        <v>3441.2535148567435</v>
      </c>
      <c r="H17" s="30">
        <v>2000</v>
      </c>
    </row>
    <row r="18" spans="1:8" ht="14.45" x14ac:dyDescent="0.3">
      <c r="A18" s="26">
        <v>852</v>
      </c>
      <c r="B18" s="38"/>
      <c r="C18" s="1" t="s">
        <v>90</v>
      </c>
      <c r="D18" s="1"/>
      <c r="E18" s="1"/>
      <c r="F18" s="10">
        <v>143.33019380800701</v>
      </c>
      <c r="G18" s="10">
        <f t="shared" si="0"/>
        <v>309.01859113347678</v>
      </c>
      <c r="H18" s="32">
        <v>309.02</v>
      </c>
    </row>
    <row r="19" spans="1:8" ht="14.45" x14ac:dyDescent="0.3">
      <c r="A19" s="3"/>
      <c r="B19" s="5"/>
      <c r="C19" s="5"/>
      <c r="D19" s="5"/>
      <c r="E19" s="5"/>
      <c r="F19" s="8">
        <f>SUM(F3:F18)</f>
        <v>7383.8499737491675</v>
      </c>
      <c r="G19" s="8">
        <f t="shared" ref="G19:H19" si="11">SUM(G3:G18)</f>
        <v>22362.181070180159</v>
      </c>
      <c r="H19" s="13">
        <f t="shared" si="11"/>
        <v>20999.95</v>
      </c>
    </row>
  </sheetData>
  <mergeCells count="6">
    <mergeCell ref="AT1:BA1"/>
    <mergeCell ref="A1:H1"/>
    <mergeCell ref="J1:Q1"/>
    <mergeCell ref="S1:Z1"/>
    <mergeCell ref="AB1:AI1"/>
    <mergeCell ref="AK1:AR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1"/>
  <sheetViews>
    <sheetView tabSelected="1" topLeftCell="I29" workbookViewId="0">
      <selection activeCell="Q35" sqref="Q35"/>
    </sheetView>
  </sheetViews>
  <sheetFormatPr baseColWidth="10" defaultRowHeight="15" x14ac:dyDescent="0.25"/>
  <sheetData>
    <row r="1" spans="1:63" x14ac:dyDescent="0.25">
      <c r="A1" s="59" t="s">
        <v>52</v>
      </c>
      <c r="B1" s="59"/>
      <c r="C1" s="59"/>
      <c r="D1" s="59"/>
      <c r="E1" s="59"/>
      <c r="F1" s="59"/>
      <c r="G1" s="59"/>
      <c r="H1" s="59"/>
      <c r="J1" s="59" t="s">
        <v>51</v>
      </c>
      <c r="K1" s="59"/>
      <c r="L1" s="59"/>
      <c r="M1" s="59"/>
      <c r="N1" s="59"/>
      <c r="O1" s="59"/>
      <c r="P1" s="59"/>
      <c r="Q1" s="59"/>
      <c r="S1" s="59" t="s">
        <v>51</v>
      </c>
      <c r="T1" s="59"/>
      <c r="U1" s="59"/>
      <c r="V1" s="59"/>
      <c r="W1" s="59"/>
      <c r="X1" s="59"/>
      <c r="Y1" s="59"/>
      <c r="Z1" s="59"/>
      <c r="AB1" s="60" t="s">
        <v>52</v>
      </c>
      <c r="AC1" s="60"/>
      <c r="AD1" s="60"/>
      <c r="AE1" s="60"/>
      <c r="AF1" s="60"/>
      <c r="AG1" s="60"/>
      <c r="AH1" s="60"/>
      <c r="AI1" s="60"/>
      <c r="AK1" s="60" t="s">
        <v>52</v>
      </c>
      <c r="AL1" s="60"/>
      <c r="AM1" s="60"/>
      <c r="AN1" s="60"/>
      <c r="AO1" s="60"/>
      <c r="AP1" s="60"/>
      <c r="AQ1" s="60"/>
      <c r="AR1" s="60"/>
      <c r="AT1" s="60" t="s">
        <v>52</v>
      </c>
      <c r="AU1" s="60"/>
      <c r="AV1" s="60"/>
      <c r="AW1" s="60"/>
      <c r="AX1" s="60"/>
      <c r="AY1" s="60"/>
      <c r="AZ1" s="60"/>
      <c r="BA1" s="60"/>
      <c r="BD1" s="60" t="s">
        <v>52</v>
      </c>
      <c r="BE1" s="60"/>
      <c r="BF1" s="60"/>
      <c r="BG1" s="60"/>
      <c r="BH1" s="60"/>
      <c r="BI1" s="60"/>
      <c r="BJ1" s="60"/>
      <c r="BK1" s="60"/>
    </row>
    <row r="2" spans="1:63" ht="28.9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7" t="s">
        <v>41</v>
      </c>
      <c r="H2" s="12" t="s">
        <v>42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7" t="s">
        <v>41</v>
      </c>
      <c r="Q2" s="12" t="s">
        <v>42</v>
      </c>
      <c r="S2" s="1" t="s">
        <v>0</v>
      </c>
      <c r="T2" s="1" t="s">
        <v>1</v>
      </c>
      <c r="U2" s="1" t="s">
        <v>2</v>
      </c>
      <c r="V2" s="1" t="s">
        <v>3</v>
      </c>
      <c r="W2" s="1" t="s">
        <v>4</v>
      </c>
      <c r="X2" s="1" t="s">
        <v>5</v>
      </c>
      <c r="Y2" s="7" t="s">
        <v>41</v>
      </c>
      <c r="Z2" s="12" t="s">
        <v>42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4</v>
      </c>
      <c r="AG2" s="1" t="s">
        <v>54</v>
      </c>
      <c r="AH2" s="7" t="s">
        <v>41</v>
      </c>
      <c r="AI2" s="12" t="s">
        <v>44</v>
      </c>
      <c r="AK2" s="1" t="s">
        <v>0</v>
      </c>
      <c r="AL2" s="1" t="s">
        <v>1</v>
      </c>
      <c r="AM2" s="1" t="s">
        <v>2</v>
      </c>
      <c r="AN2" s="1" t="s">
        <v>3</v>
      </c>
      <c r="AO2" s="1" t="s">
        <v>85</v>
      </c>
      <c r="AP2" s="1" t="s">
        <v>54</v>
      </c>
      <c r="AQ2" s="7" t="s">
        <v>41</v>
      </c>
      <c r="AR2" s="12" t="s">
        <v>44</v>
      </c>
      <c r="AT2" s="1" t="s">
        <v>0</v>
      </c>
      <c r="AU2" s="1" t="s">
        <v>1</v>
      </c>
      <c r="AV2" s="1" t="s">
        <v>2</v>
      </c>
      <c r="AW2" s="1" t="s">
        <v>3</v>
      </c>
      <c r="AX2" s="1" t="s">
        <v>85</v>
      </c>
      <c r="AY2" s="1" t="s">
        <v>54</v>
      </c>
      <c r="AZ2" s="17" t="s">
        <v>41</v>
      </c>
      <c r="BA2" s="12" t="s">
        <v>42</v>
      </c>
      <c r="BB2" s="5"/>
      <c r="BD2" s="1" t="s">
        <v>0</v>
      </c>
      <c r="BE2" s="1" t="s">
        <v>1</v>
      </c>
      <c r="BF2" s="1" t="s">
        <v>2</v>
      </c>
      <c r="BG2" s="1" t="s">
        <v>3</v>
      </c>
      <c r="BH2" s="1" t="s">
        <v>4</v>
      </c>
      <c r="BI2" s="1" t="s">
        <v>54</v>
      </c>
      <c r="BJ2" s="7" t="s">
        <v>41</v>
      </c>
      <c r="BK2" s="12" t="s">
        <v>44</v>
      </c>
    </row>
    <row r="3" spans="1:63" ht="30" x14ac:dyDescent="0.25">
      <c r="A3" s="1">
        <v>1034</v>
      </c>
      <c r="B3" s="1"/>
      <c r="C3" s="1" t="s">
        <v>30</v>
      </c>
      <c r="D3" s="1" t="s">
        <v>12</v>
      </c>
      <c r="E3" s="1"/>
      <c r="F3" s="6">
        <v>195.602296635968</v>
      </c>
      <c r="G3" s="8">
        <f>3.4216*F3-181.4</f>
        <v>487.8728181696282</v>
      </c>
      <c r="H3" s="13">
        <v>487.87</v>
      </c>
      <c r="J3" s="1">
        <v>1021</v>
      </c>
      <c r="K3" s="1"/>
      <c r="L3" s="1" t="s">
        <v>25</v>
      </c>
      <c r="M3" s="1" t="s">
        <v>16</v>
      </c>
      <c r="N3" s="1" t="s">
        <v>24</v>
      </c>
      <c r="O3" s="1">
        <v>114.559962799598</v>
      </c>
      <c r="P3" s="8">
        <f>3.4216*O3-181.4</f>
        <v>210.57836871510452</v>
      </c>
      <c r="Q3" s="13">
        <v>210.58</v>
      </c>
      <c r="S3" s="1">
        <v>1026</v>
      </c>
      <c r="T3" s="1"/>
      <c r="U3" s="1" t="s">
        <v>26</v>
      </c>
      <c r="V3" s="1" t="s">
        <v>10</v>
      </c>
      <c r="W3" s="1"/>
      <c r="X3" s="6">
        <v>466.653421314534</v>
      </c>
      <c r="Y3" s="8">
        <f>3.4216*X3-181.4</f>
        <v>1415.3013463698096</v>
      </c>
      <c r="Z3" s="13">
        <v>1415.3</v>
      </c>
      <c r="AB3" s="1">
        <v>766</v>
      </c>
      <c r="AC3" s="22">
        <v>3000</v>
      </c>
      <c r="AD3" s="1" t="s">
        <v>82</v>
      </c>
      <c r="AE3" s="1"/>
      <c r="AF3" s="1"/>
      <c r="AG3" s="1">
        <v>747.24148773830302</v>
      </c>
      <c r="AH3" s="1">
        <f>3.4216*AG3-181.4</f>
        <v>2375.3614744453776</v>
      </c>
      <c r="AI3" s="30">
        <v>2375.36</v>
      </c>
      <c r="AK3" s="1">
        <v>180</v>
      </c>
      <c r="AL3" s="2">
        <v>1500</v>
      </c>
      <c r="AM3" s="1" t="s">
        <v>84</v>
      </c>
      <c r="AN3" s="1"/>
      <c r="AO3" s="1"/>
      <c r="AP3" s="1">
        <v>699.60318184463802</v>
      </c>
      <c r="AQ3" s="1">
        <f>3.4216*AP3-181.04</f>
        <v>2212.7222469996136</v>
      </c>
      <c r="AR3" s="30">
        <v>1500</v>
      </c>
      <c r="AT3" s="1">
        <v>107</v>
      </c>
      <c r="AU3" s="22">
        <v>2250</v>
      </c>
      <c r="AV3" s="1" t="s">
        <v>88</v>
      </c>
      <c r="AW3" s="1"/>
      <c r="AX3" s="1"/>
      <c r="AY3" s="1">
        <v>1365.7534104665399</v>
      </c>
      <c r="AZ3" s="1">
        <f>3.4216*AY3-181.4</f>
        <v>4491.6618692523134</v>
      </c>
      <c r="BA3" s="30">
        <v>4491.66</v>
      </c>
      <c r="BB3" s="5"/>
      <c r="BD3" s="1">
        <v>556</v>
      </c>
      <c r="BE3" s="1"/>
      <c r="BF3" s="1" t="s">
        <v>89</v>
      </c>
      <c r="BG3" s="1"/>
      <c r="BH3" s="1"/>
      <c r="BI3" s="1">
        <v>417.92489668885202</v>
      </c>
      <c r="BJ3" s="1">
        <f>3.4216*BI3-181.4</f>
        <v>1248.5718265105761</v>
      </c>
      <c r="BK3" s="30">
        <v>1248.57</v>
      </c>
    </row>
    <row r="4" spans="1:63" ht="30" x14ac:dyDescent="0.25">
      <c r="A4" s="1">
        <v>396</v>
      </c>
      <c r="B4" s="1">
        <v>400</v>
      </c>
      <c r="C4" s="1" t="s">
        <v>30</v>
      </c>
      <c r="D4" s="1" t="s">
        <v>10</v>
      </c>
      <c r="E4" s="1"/>
      <c r="F4" s="6">
        <v>236.483434914171</v>
      </c>
      <c r="G4" s="8">
        <f t="shared" ref="G4:G50" si="0">3.4216*F4-181.4</f>
        <v>627.75172090232752</v>
      </c>
      <c r="H4" s="13">
        <v>400</v>
      </c>
      <c r="J4" s="1">
        <v>1022</v>
      </c>
      <c r="K4" s="1"/>
      <c r="L4" s="1" t="s">
        <v>25</v>
      </c>
      <c r="M4" s="1" t="s">
        <v>17</v>
      </c>
      <c r="N4" s="1" t="s">
        <v>24</v>
      </c>
      <c r="O4" s="1">
        <v>144.0784418028</v>
      </c>
      <c r="P4" s="8">
        <f t="shared" ref="P4:P36" si="1">3.4216*O4-181.4</f>
        <v>311.57879647246045</v>
      </c>
      <c r="Q4" s="13">
        <v>311.58</v>
      </c>
      <c r="S4" s="1">
        <v>808</v>
      </c>
      <c r="T4" s="2">
        <v>9000</v>
      </c>
      <c r="U4" s="1" t="s">
        <v>26</v>
      </c>
      <c r="V4" s="1" t="s">
        <v>16</v>
      </c>
      <c r="W4" s="1"/>
      <c r="X4" s="6">
        <v>1310.3506325751</v>
      </c>
      <c r="Y4" s="8">
        <f t="shared" ref="Y4:Y9" si="2">3.4216*X4-181.4</f>
        <v>4302.0957244189631</v>
      </c>
      <c r="Z4" s="13">
        <v>9000</v>
      </c>
      <c r="AB4" s="1">
        <v>767</v>
      </c>
      <c r="AC4" s="1"/>
      <c r="AD4" s="1" t="s">
        <v>82</v>
      </c>
      <c r="AE4" s="1"/>
      <c r="AF4" s="1"/>
      <c r="AG4" s="1">
        <v>261.02298929907198</v>
      </c>
      <c r="AH4" s="1">
        <f t="shared" ref="AH4:AH29" si="3">3.4216*AG4-181.4</f>
        <v>711.71626018570475</v>
      </c>
      <c r="AI4" s="30">
        <v>711.72</v>
      </c>
      <c r="AK4" s="1">
        <v>181</v>
      </c>
      <c r="AL4" s="1"/>
      <c r="AM4" s="1" t="s">
        <v>84</v>
      </c>
      <c r="AN4" s="1"/>
      <c r="AO4" s="1"/>
      <c r="AP4" s="1">
        <v>273.85132596731398</v>
      </c>
      <c r="AQ4" s="1">
        <f t="shared" ref="AQ4:AQ67" si="4">3.4216*AP4-181.04</f>
        <v>755.96969692976165</v>
      </c>
      <c r="AR4" s="30">
        <v>755.97</v>
      </c>
      <c r="AT4" s="1">
        <v>108</v>
      </c>
      <c r="AU4" s="22">
        <v>1200</v>
      </c>
      <c r="AV4" s="1" t="s">
        <v>88</v>
      </c>
      <c r="AW4" s="1"/>
      <c r="AX4" s="1"/>
      <c r="AY4" s="1">
        <v>694.31499361722297</v>
      </c>
      <c r="AZ4" s="1">
        <f t="shared" ref="AZ4:AZ67" si="5">3.4216*AY4-181.4</f>
        <v>2194.2681821606902</v>
      </c>
      <c r="BA4" s="30">
        <v>2194.27</v>
      </c>
      <c r="BB4" s="5"/>
      <c r="BD4" s="1">
        <v>557</v>
      </c>
      <c r="BE4" s="1"/>
      <c r="BF4" s="1" t="s">
        <v>89</v>
      </c>
      <c r="BG4" s="1"/>
      <c r="BH4" s="1"/>
      <c r="BI4" s="1">
        <v>167.28615771409901</v>
      </c>
      <c r="BJ4" s="1">
        <f t="shared" ref="BJ4:BJ53" si="6">3.4216*BI4-181.4</f>
        <v>390.98631723456117</v>
      </c>
      <c r="BK4" s="30">
        <v>390.99</v>
      </c>
    </row>
    <row r="5" spans="1:63" ht="30" x14ac:dyDescent="0.25">
      <c r="A5" s="1">
        <v>410</v>
      </c>
      <c r="B5" s="1"/>
      <c r="C5" s="1" t="s">
        <v>30</v>
      </c>
      <c r="D5" s="1" t="s">
        <v>17</v>
      </c>
      <c r="E5" s="1"/>
      <c r="F5" s="6">
        <v>98.058704058270607</v>
      </c>
      <c r="G5" s="8">
        <f t="shared" si="0"/>
        <v>154.11766180577874</v>
      </c>
      <c r="H5" s="13">
        <v>154.12</v>
      </c>
      <c r="J5" s="1">
        <v>1023</v>
      </c>
      <c r="K5" s="1"/>
      <c r="L5" s="1" t="s">
        <v>25</v>
      </c>
      <c r="M5" s="1" t="s">
        <v>17</v>
      </c>
      <c r="N5" s="1" t="s">
        <v>20</v>
      </c>
      <c r="O5" s="1">
        <v>388.53236100774899</v>
      </c>
      <c r="P5" s="8">
        <f t="shared" si="1"/>
        <v>1148.002326424114</v>
      </c>
      <c r="Q5" s="13">
        <v>1148</v>
      </c>
      <c r="S5" s="1">
        <v>809</v>
      </c>
      <c r="T5" s="22">
        <v>1800</v>
      </c>
      <c r="U5" s="1" t="s">
        <v>26</v>
      </c>
      <c r="V5" s="1" t="s">
        <v>17</v>
      </c>
      <c r="W5" s="1" t="s">
        <v>29</v>
      </c>
      <c r="X5" s="6">
        <v>1088.24483973409</v>
      </c>
      <c r="Y5" s="8">
        <f t="shared" si="2"/>
        <v>3542.1385436341625</v>
      </c>
      <c r="Z5" s="13">
        <v>3542.14</v>
      </c>
      <c r="AB5" s="1">
        <v>768</v>
      </c>
      <c r="AC5" s="1"/>
      <c r="AD5" s="1" t="s">
        <v>82</v>
      </c>
      <c r="AE5" s="1"/>
      <c r="AF5" s="1"/>
      <c r="AG5" s="1">
        <v>95.878175175091798</v>
      </c>
      <c r="AH5" s="1">
        <f t="shared" si="3"/>
        <v>146.6567641790941</v>
      </c>
      <c r="AI5" s="30">
        <v>146.66</v>
      </c>
      <c r="AK5" s="1">
        <v>182</v>
      </c>
      <c r="AL5" s="1"/>
      <c r="AM5" s="1" t="s">
        <v>84</v>
      </c>
      <c r="AN5" s="1"/>
      <c r="AO5" s="1"/>
      <c r="AP5" s="1">
        <v>218.07303225327701</v>
      </c>
      <c r="AQ5" s="1">
        <f t="shared" si="4"/>
        <v>565.1186871578127</v>
      </c>
      <c r="AR5" s="30">
        <v>565.12</v>
      </c>
      <c r="AT5" s="1">
        <v>110</v>
      </c>
      <c r="AU5" s="2">
        <v>5000</v>
      </c>
      <c r="AV5" s="1" t="s">
        <v>88</v>
      </c>
      <c r="AW5" s="1"/>
      <c r="AX5" s="1"/>
      <c r="AY5" s="1">
        <v>1779.09188058578</v>
      </c>
      <c r="AZ5" s="1">
        <f t="shared" si="5"/>
        <v>5905.9407786123056</v>
      </c>
      <c r="BA5" s="30">
        <v>5000</v>
      </c>
      <c r="BB5" s="5"/>
      <c r="BD5" s="1">
        <v>559</v>
      </c>
      <c r="BE5" s="1"/>
      <c r="BF5" s="1" t="s">
        <v>89</v>
      </c>
      <c r="BG5" s="1"/>
      <c r="BH5" s="1"/>
      <c r="BI5" s="1">
        <v>132.23347152243201</v>
      </c>
      <c r="BJ5" s="1">
        <f t="shared" si="6"/>
        <v>271.05004616115343</v>
      </c>
      <c r="BK5" s="30">
        <v>271.05</v>
      </c>
    </row>
    <row r="6" spans="1:63" ht="30" x14ac:dyDescent="0.25">
      <c r="A6" s="1">
        <v>411</v>
      </c>
      <c r="B6" s="1"/>
      <c r="C6" s="1" t="s">
        <v>30</v>
      </c>
      <c r="D6" s="1" t="s">
        <v>104</v>
      </c>
      <c r="E6" s="1"/>
      <c r="F6" s="6">
        <v>45.687584498465803</v>
      </c>
      <c r="G6" s="8">
        <f t="shared" si="0"/>
        <v>-25.075360880049402</v>
      </c>
      <c r="H6" s="13">
        <v>45.69</v>
      </c>
      <c r="J6" s="1">
        <v>1024</v>
      </c>
      <c r="K6" s="1"/>
      <c r="L6" s="1" t="s">
        <v>25</v>
      </c>
      <c r="M6" s="1" t="s">
        <v>17</v>
      </c>
      <c r="N6" s="1" t="s">
        <v>13</v>
      </c>
      <c r="O6" s="1">
        <v>110.39248922585401</v>
      </c>
      <c r="P6" s="8">
        <f t="shared" si="1"/>
        <v>196.31894113518209</v>
      </c>
      <c r="Q6" s="13">
        <v>169.32</v>
      </c>
      <c r="S6" s="1">
        <v>810</v>
      </c>
      <c r="T6" s="22">
        <v>1700</v>
      </c>
      <c r="U6" s="1" t="s">
        <v>26</v>
      </c>
      <c r="V6" s="1" t="s">
        <v>12</v>
      </c>
      <c r="W6" s="1"/>
      <c r="X6" s="6">
        <v>1016.1458331443901</v>
      </c>
      <c r="Y6" s="8">
        <f t="shared" si="2"/>
        <v>3295.444582686845</v>
      </c>
      <c r="Z6" s="13">
        <v>3295.44</v>
      </c>
      <c r="AB6" s="1">
        <v>769</v>
      </c>
      <c r="AC6" s="2">
        <v>15000</v>
      </c>
      <c r="AD6" s="1" t="s">
        <v>82</v>
      </c>
      <c r="AE6" s="1"/>
      <c r="AF6" s="1"/>
      <c r="AG6" s="1">
        <v>3854.6139819674199</v>
      </c>
      <c r="AH6" s="1">
        <f t="shared" si="3"/>
        <v>13007.547200699724</v>
      </c>
      <c r="AI6" s="30">
        <v>15000</v>
      </c>
      <c r="AK6" s="1">
        <v>183</v>
      </c>
      <c r="AL6" s="21">
        <v>4</v>
      </c>
      <c r="AM6" s="1" t="s">
        <v>84</v>
      </c>
      <c r="AN6" s="1"/>
      <c r="AO6" s="1"/>
      <c r="AP6" s="1">
        <v>700.58827053044001</v>
      </c>
      <c r="AQ6" s="1">
        <f t="shared" si="4"/>
        <v>2216.0928264469539</v>
      </c>
      <c r="AR6" s="30">
        <v>2216.09</v>
      </c>
      <c r="AT6" s="1">
        <v>112</v>
      </c>
      <c r="AU6" s="2">
        <v>2800</v>
      </c>
      <c r="AV6" s="1" t="s">
        <v>88</v>
      </c>
      <c r="AW6" s="1"/>
      <c r="AX6" s="1"/>
      <c r="AY6" s="1">
        <v>1077.1415624353001</v>
      </c>
      <c r="AZ6" s="1">
        <f t="shared" si="5"/>
        <v>3504.1475700286228</v>
      </c>
      <c r="BA6" s="30">
        <v>2800</v>
      </c>
      <c r="BB6" s="5"/>
      <c r="BD6" s="1">
        <v>562</v>
      </c>
      <c r="BE6" s="1"/>
      <c r="BF6" s="1" t="s">
        <v>89</v>
      </c>
      <c r="BG6" s="1"/>
      <c r="BH6" s="1"/>
      <c r="BI6" s="1">
        <v>121.06728329494599</v>
      </c>
      <c r="BJ6" s="1">
        <f t="shared" si="6"/>
        <v>232.84381652198724</v>
      </c>
      <c r="BK6" s="30">
        <v>232.84</v>
      </c>
    </row>
    <row r="7" spans="1:63" ht="30" x14ac:dyDescent="0.25">
      <c r="A7" s="1">
        <v>447</v>
      </c>
      <c r="B7" s="22">
        <v>1500</v>
      </c>
      <c r="C7" s="1" t="s">
        <v>30</v>
      </c>
      <c r="D7" s="1" t="s">
        <v>12</v>
      </c>
      <c r="E7" s="1"/>
      <c r="F7" s="6">
        <v>623.60948128478105</v>
      </c>
      <c r="G7" s="8">
        <f t="shared" si="0"/>
        <v>1952.3422011640068</v>
      </c>
      <c r="H7" s="13">
        <v>1952.34</v>
      </c>
      <c r="J7" s="1">
        <v>1027</v>
      </c>
      <c r="K7" s="1"/>
      <c r="L7" s="1" t="s">
        <v>27</v>
      </c>
      <c r="M7" s="1" t="s">
        <v>28</v>
      </c>
      <c r="N7" s="1"/>
      <c r="O7" s="1">
        <v>84</v>
      </c>
      <c r="P7" s="8">
        <f t="shared" si="1"/>
        <v>106.01439999999999</v>
      </c>
      <c r="Q7" s="13">
        <v>2000</v>
      </c>
      <c r="S7" s="1">
        <v>811</v>
      </c>
      <c r="T7" s="2">
        <v>10500</v>
      </c>
      <c r="U7" s="1" t="s">
        <v>26</v>
      </c>
      <c r="V7" s="1" t="s">
        <v>16</v>
      </c>
      <c r="W7" s="1"/>
      <c r="X7" s="6">
        <v>2494.1178497534402</v>
      </c>
      <c r="Y7" s="8">
        <f t="shared" si="2"/>
        <v>8352.4736347163725</v>
      </c>
      <c r="Z7" s="13">
        <v>10500</v>
      </c>
      <c r="AB7" s="1">
        <v>770</v>
      </c>
      <c r="AC7" s="2">
        <v>6000</v>
      </c>
      <c r="AD7" s="1" t="s">
        <v>82</v>
      </c>
      <c r="AE7" s="1"/>
      <c r="AF7" s="1"/>
      <c r="AG7" s="1">
        <v>777.30484271677801</v>
      </c>
      <c r="AH7" s="1">
        <f t="shared" si="3"/>
        <v>2478.2262498397276</v>
      </c>
      <c r="AI7" s="30">
        <v>6000</v>
      </c>
      <c r="AK7" s="1">
        <v>285</v>
      </c>
      <c r="AL7" s="21">
        <v>100</v>
      </c>
      <c r="AM7" s="1" t="s">
        <v>84</v>
      </c>
      <c r="AN7" s="1"/>
      <c r="AO7" s="1"/>
      <c r="AP7" s="1">
        <v>255.320185847733</v>
      </c>
      <c r="AQ7" s="1">
        <f t="shared" si="4"/>
        <v>692.56354789660327</v>
      </c>
      <c r="AR7" s="30">
        <v>692.56</v>
      </c>
      <c r="AT7" s="1">
        <v>113</v>
      </c>
      <c r="AU7" s="1"/>
      <c r="AV7" s="1" t="s">
        <v>88</v>
      </c>
      <c r="AW7" s="1"/>
      <c r="AX7" s="1"/>
      <c r="AY7" s="1">
        <v>1475.4484164006301</v>
      </c>
      <c r="AZ7" s="1">
        <f t="shared" si="5"/>
        <v>4866.9943015563967</v>
      </c>
      <c r="BA7" s="30">
        <v>4866.99</v>
      </c>
      <c r="BB7" s="5"/>
      <c r="BD7" s="1">
        <v>563</v>
      </c>
      <c r="BE7" s="1"/>
      <c r="BF7" s="1" t="s">
        <v>89</v>
      </c>
      <c r="BG7" s="1"/>
      <c r="BH7" s="1"/>
      <c r="BI7" s="1">
        <v>234.36572816560701</v>
      </c>
      <c r="BJ7" s="1">
        <f t="shared" si="6"/>
        <v>620.505775491441</v>
      </c>
      <c r="BK7" s="30">
        <v>620.51</v>
      </c>
    </row>
    <row r="8" spans="1:63" ht="30" x14ac:dyDescent="0.25">
      <c r="A8" s="1">
        <v>470</v>
      </c>
      <c r="B8" s="22">
        <v>2000</v>
      </c>
      <c r="C8" s="1" t="s">
        <v>30</v>
      </c>
      <c r="D8" s="1" t="s">
        <v>14</v>
      </c>
      <c r="E8" s="1"/>
      <c r="F8" s="6">
        <v>1388.7547582570101</v>
      </c>
      <c r="G8" s="8">
        <f t="shared" si="0"/>
        <v>4570.3632808521861</v>
      </c>
      <c r="H8" s="13">
        <v>4570.3599999999997</v>
      </c>
      <c r="J8" s="1">
        <v>512</v>
      </c>
      <c r="K8" s="2">
        <v>2200</v>
      </c>
      <c r="L8" s="1" t="s">
        <v>25</v>
      </c>
      <c r="M8" s="1" t="s">
        <v>16</v>
      </c>
      <c r="N8" s="1" t="s">
        <v>21</v>
      </c>
      <c r="O8" s="1">
        <v>561.04021740772805</v>
      </c>
      <c r="P8" s="8">
        <f t="shared" si="1"/>
        <v>1738.2552078822823</v>
      </c>
      <c r="Q8" s="13">
        <v>2200</v>
      </c>
      <c r="S8" s="1">
        <v>812</v>
      </c>
      <c r="T8" s="21">
        <v>600</v>
      </c>
      <c r="U8" s="1" t="s">
        <v>26</v>
      </c>
      <c r="V8" s="1" t="s">
        <v>16</v>
      </c>
      <c r="W8" s="1"/>
      <c r="X8" s="6">
        <v>663.20005354030604</v>
      </c>
      <c r="Y8" s="8">
        <f t="shared" si="2"/>
        <v>2087.805303193511</v>
      </c>
      <c r="Z8" s="13">
        <v>2087.81</v>
      </c>
      <c r="AB8" s="1">
        <v>771</v>
      </c>
      <c r="AC8" s="1"/>
      <c r="AD8" s="1" t="s">
        <v>82</v>
      </c>
      <c r="AE8" s="1"/>
      <c r="AF8" s="1"/>
      <c r="AG8" s="1">
        <v>335.274873594827</v>
      </c>
      <c r="AH8" s="1">
        <f t="shared" si="3"/>
        <v>965.7765074920602</v>
      </c>
      <c r="AI8" s="30">
        <v>965.78</v>
      </c>
      <c r="AK8" s="1">
        <v>287</v>
      </c>
      <c r="AL8" s="1"/>
      <c r="AM8" s="1" t="s">
        <v>84</v>
      </c>
      <c r="AN8" s="1"/>
      <c r="AO8" s="1"/>
      <c r="AP8" s="1">
        <v>315.96916014898198</v>
      </c>
      <c r="AQ8" s="1">
        <f t="shared" si="4"/>
        <v>900.08007836575689</v>
      </c>
      <c r="AR8" s="30">
        <v>900.08</v>
      </c>
      <c r="AT8" s="1">
        <v>115</v>
      </c>
      <c r="AU8" s="1"/>
      <c r="AV8" s="1" t="s">
        <v>88</v>
      </c>
      <c r="AW8" s="1"/>
      <c r="AX8" s="1"/>
      <c r="AY8" s="1">
        <v>264.912829278819</v>
      </c>
      <c r="AZ8" s="1">
        <f t="shared" si="5"/>
        <v>725.02573666040723</v>
      </c>
      <c r="BA8" s="30">
        <v>725.03</v>
      </c>
      <c r="BB8" s="5"/>
      <c r="BD8" s="1">
        <v>564</v>
      </c>
      <c r="BE8" s="1"/>
      <c r="BF8" s="1" t="s">
        <v>89</v>
      </c>
      <c r="BG8" s="1"/>
      <c r="BH8" s="1"/>
      <c r="BI8" s="1">
        <v>218.760754556775</v>
      </c>
      <c r="BJ8" s="1">
        <f t="shared" si="6"/>
        <v>567.11179779146141</v>
      </c>
      <c r="BK8" s="30">
        <v>567.11</v>
      </c>
    </row>
    <row r="9" spans="1:63" ht="30" x14ac:dyDescent="0.25">
      <c r="A9" s="1">
        <v>471</v>
      </c>
      <c r="B9" s="2">
        <v>3000</v>
      </c>
      <c r="C9" s="1" t="s">
        <v>30</v>
      </c>
      <c r="D9" s="1" t="s">
        <v>12</v>
      </c>
      <c r="E9" s="1"/>
      <c r="F9" s="6">
        <v>1562.4987484287899</v>
      </c>
      <c r="G9" s="8">
        <f t="shared" si="0"/>
        <v>5164.8457176239481</v>
      </c>
      <c r="H9" s="13">
        <v>3000</v>
      </c>
      <c r="J9" s="1">
        <v>513</v>
      </c>
      <c r="K9" s="22">
        <v>1000</v>
      </c>
      <c r="L9" s="1" t="s">
        <v>25</v>
      </c>
      <c r="M9" s="1" t="s">
        <v>14</v>
      </c>
      <c r="N9" s="1" t="s">
        <v>29</v>
      </c>
      <c r="O9" s="1">
        <v>1055.37789438051</v>
      </c>
      <c r="P9" s="8">
        <f t="shared" si="1"/>
        <v>3429.6810034123532</v>
      </c>
      <c r="Q9" s="13">
        <v>3429.68</v>
      </c>
      <c r="S9" s="1">
        <v>833</v>
      </c>
      <c r="T9" s="1"/>
      <c r="U9" s="1" t="s">
        <v>26</v>
      </c>
      <c r="V9" s="1" t="s">
        <v>14</v>
      </c>
      <c r="W9" s="1" t="s">
        <v>15</v>
      </c>
      <c r="X9" s="16">
        <v>94.527242933219</v>
      </c>
      <c r="Y9" s="8">
        <f t="shared" si="2"/>
        <v>142.03441442030217</v>
      </c>
      <c r="Z9" s="13">
        <v>142.03</v>
      </c>
      <c r="AB9" s="1">
        <v>772</v>
      </c>
      <c r="AC9" s="1"/>
      <c r="AD9" s="1" t="s">
        <v>82</v>
      </c>
      <c r="AE9" s="1"/>
      <c r="AF9" s="1"/>
      <c r="AG9" s="1">
        <v>139.995246469498</v>
      </c>
      <c r="AH9" s="1">
        <f t="shared" si="3"/>
        <v>297.60773532003441</v>
      </c>
      <c r="AI9" s="30">
        <v>297.61</v>
      </c>
      <c r="AK9" s="1">
        <v>288</v>
      </c>
      <c r="AL9" s="1"/>
      <c r="AM9" s="1" t="s">
        <v>84</v>
      </c>
      <c r="AN9" s="1"/>
      <c r="AO9" s="1"/>
      <c r="AP9" s="1">
        <v>188.355184761305</v>
      </c>
      <c r="AQ9" s="1">
        <f t="shared" si="4"/>
        <v>463.4361001792812</v>
      </c>
      <c r="AR9" s="30">
        <v>463.44</v>
      </c>
      <c r="AT9" s="1">
        <v>116</v>
      </c>
      <c r="AU9" s="1"/>
      <c r="AV9" s="1" t="s">
        <v>88</v>
      </c>
      <c r="AW9" s="1"/>
      <c r="AX9" s="1"/>
      <c r="AY9" s="1">
        <v>1377.96748005315</v>
      </c>
      <c r="AZ9" s="1">
        <f t="shared" si="5"/>
        <v>4533.4535297498587</v>
      </c>
      <c r="BA9" s="30">
        <v>4533.45</v>
      </c>
      <c r="BB9" s="5"/>
      <c r="BD9" s="1">
        <v>679</v>
      </c>
      <c r="BE9" s="21">
        <v>600</v>
      </c>
      <c r="BF9" s="1" t="s">
        <v>89</v>
      </c>
      <c r="BG9" s="1"/>
      <c r="BH9" s="1"/>
      <c r="BI9" s="1">
        <v>391.90707864808797</v>
      </c>
      <c r="BJ9" s="1">
        <f t="shared" si="6"/>
        <v>1159.5492603022979</v>
      </c>
      <c r="BK9" s="30">
        <v>1159.55</v>
      </c>
    </row>
    <row r="10" spans="1:63" ht="30" x14ac:dyDescent="0.25">
      <c r="A10" s="1">
        <v>472</v>
      </c>
      <c r="B10" s="2">
        <v>1500</v>
      </c>
      <c r="C10" s="1" t="s">
        <v>30</v>
      </c>
      <c r="D10" s="1" t="s">
        <v>14</v>
      </c>
      <c r="E10" s="1"/>
      <c r="F10" s="6">
        <v>751.22191932474004</v>
      </c>
      <c r="G10" s="8">
        <f t="shared" si="0"/>
        <v>2388.9809191615304</v>
      </c>
      <c r="H10" s="13">
        <v>1500</v>
      </c>
      <c r="J10" s="1">
        <v>514</v>
      </c>
      <c r="K10" s="1"/>
      <c r="L10" s="1" t="s">
        <v>25</v>
      </c>
      <c r="M10" s="1" t="s">
        <v>14</v>
      </c>
      <c r="N10" s="1" t="s">
        <v>13</v>
      </c>
      <c r="O10" s="1">
        <v>57.872783101115701</v>
      </c>
      <c r="P10" s="8">
        <f t="shared" si="1"/>
        <v>16.61751465877748</v>
      </c>
      <c r="Q10" s="13">
        <v>57.87</v>
      </c>
      <c r="X10" s="8">
        <f>SUM(X3:X9)</f>
        <v>7133.2398729950792</v>
      </c>
      <c r="Y10" s="8">
        <f t="shared" ref="Y10:Z10" si="7">SUM(Y3:Y9)</f>
        <v>23137.293549439968</v>
      </c>
      <c r="Z10" s="13">
        <f t="shared" si="7"/>
        <v>29982.719999999998</v>
      </c>
      <c r="AB10" s="1">
        <v>775</v>
      </c>
      <c r="AC10" s="1"/>
      <c r="AD10" s="1" t="s">
        <v>82</v>
      </c>
      <c r="AE10" s="1"/>
      <c r="AF10" s="1"/>
      <c r="AG10" s="1">
        <v>95.379925746777204</v>
      </c>
      <c r="AH10" s="1">
        <f t="shared" si="3"/>
        <v>144.9519539351729</v>
      </c>
      <c r="AI10" s="30">
        <v>144.94999999999999</v>
      </c>
      <c r="AK10" s="1">
        <v>289</v>
      </c>
      <c r="AL10" s="2">
        <v>2500</v>
      </c>
      <c r="AM10" s="1" t="s">
        <v>84</v>
      </c>
      <c r="AN10" s="1"/>
      <c r="AO10" s="1"/>
      <c r="AP10" s="1">
        <v>797.71886231831797</v>
      </c>
      <c r="AQ10" s="1">
        <f t="shared" si="4"/>
        <v>2548.4348593083569</v>
      </c>
      <c r="AR10" s="30">
        <v>2500</v>
      </c>
      <c r="AT10" s="1">
        <v>117</v>
      </c>
      <c r="AU10" s="1"/>
      <c r="AV10" s="1" t="s">
        <v>88</v>
      </c>
      <c r="AW10" s="1"/>
      <c r="AX10" s="1"/>
      <c r="AY10" s="1">
        <v>155.95982182244001</v>
      </c>
      <c r="AZ10" s="1">
        <f t="shared" si="5"/>
        <v>352.23212634766082</v>
      </c>
      <c r="BA10" s="30">
        <v>352.23</v>
      </c>
      <c r="BB10" s="5"/>
      <c r="BD10" s="1">
        <v>680</v>
      </c>
      <c r="BE10" s="1"/>
      <c r="BF10" s="1" t="s">
        <v>89</v>
      </c>
      <c r="BG10" s="1"/>
      <c r="BH10" s="1"/>
      <c r="BI10" s="1">
        <v>352.16788813220802</v>
      </c>
      <c r="BJ10" s="1">
        <f t="shared" si="6"/>
        <v>1023.577646033163</v>
      </c>
      <c r="BK10" s="30">
        <v>1023.58</v>
      </c>
    </row>
    <row r="11" spans="1:63" ht="30" x14ac:dyDescent="0.25">
      <c r="A11" s="1">
        <v>474</v>
      </c>
      <c r="B11" s="2">
        <v>25000</v>
      </c>
      <c r="C11" s="1" t="s">
        <v>30</v>
      </c>
      <c r="D11" s="1" t="s">
        <v>16</v>
      </c>
      <c r="E11" s="1"/>
      <c r="F11" s="6">
        <v>7490.6676978846499</v>
      </c>
      <c r="G11" s="8">
        <f t="shared" si="0"/>
        <v>25448.668595082119</v>
      </c>
      <c r="H11" s="13">
        <v>25000</v>
      </c>
      <c r="J11" s="1">
        <v>545</v>
      </c>
      <c r="K11" s="1"/>
      <c r="L11" s="1" t="s">
        <v>25</v>
      </c>
      <c r="M11" s="1" t="s">
        <v>10</v>
      </c>
      <c r="N11" s="1" t="s">
        <v>21</v>
      </c>
      <c r="O11" s="1">
        <v>295.35969647654701</v>
      </c>
      <c r="P11" s="8">
        <f t="shared" si="1"/>
        <v>829.2027374641533</v>
      </c>
      <c r="Q11" s="13">
        <v>829.2</v>
      </c>
      <c r="AB11" s="1">
        <v>776</v>
      </c>
      <c r="AC11" s="1"/>
      <c r="AD11" s="1" t="s">
        <v>82</v>
      </c>
      <c r="AE11" s="1"/>
      <c r="AF11" s="1"/>
      <c r="AG11" s="1">
        <v>434.17283888427698</v>
      </c>
      <c r="AH11" s="1">
        <f t="shared" si="3"/>
        <v>1304.1657855264421</v>
      </c>
      <c r="AI11" s="30">
        <v>1304.17</v>
      </c>
      <c r="AK11" s="1">
        <v>290</v>
      </c>
      <c r="AL11" s="1"/>
      <c r="AM11" s="1" t="s">
        <v>84</v>
      </c>
      <c r="AN11" s="1"/>
      <c r="AO11" s="1"/>
      <c r="AP11" s="1">
        <v>101.145139735204</v>
      </c>
      <c r="AQ11" s="1">
        <f t="shared" si="4"/>
        <v>165.03821011797405</v>
      </c>
      <c r="AR11" s="30">
        <v>165.04</v>
      </c>
      <c r="AT11" s="1">
        <v>118</v>
      </c>
      <c r="AU11" s="22">
        <v>2700</v>
      </c>
      <c r="AV11" s="1" t="s">
        <v>88</v>
      </c>
      <c r="AW11" s="1"/>
      <c r="AX11" s="1"/>
      <c r="AY11" s="1">
        <v>1627.74358151559</v>
      </c>
      <c r="AZ11" s="1">
        <f t="shared" si="5"/>
        <v>5388.0874385137431</v>
      </c>
      <c r="BA11" s="30">
        <v>5388.09</v>
      </c>
      <c r="BB11" s="5"/>
      <c r="BD11" s="1">
        <v>681</v>
      </c>
      <c r="BE11" s="2">
        <v>1500</v>
      </c>
      <c r="BF11" s="1" t="s">
        <v>89</v>
      </c>
      <c r="BG11" s="1"/>
      <c r="BH11" s="1"/>
      <c r="BI11" s="1">
        <v>515.63342819050195</v>
      </c>
      <c r="BJ11" s="1">
        <f t="shared" si="6"/>
        <v>1582.8913378966215</v>
      </c>
      <c r="BK11" s="30">
        <v>1500</v>
      </c>
    </row>
    <row r="12" spans="1:63" ht="30" x14ac:dyDescent="0.25">
      <c r="A12" s="1">
        <v>475</v>
      </c>
      <c r="B12" s="1"/>
      <c r="C12" s="1" t="s">
        <v>30</v>
      </c>
      <c r="D12" s="1" t="s">
        <v>10</v>
      </c>
      <c r="E12" s="1"/>
      <c r="F12" s="6">
        <v>1190.0903175769299</v>
      </c>
      <c r="G12" s="8">
        <f t="shared" si="0"/>
        <v>3890.6130306212235</v>
      </c>
      <c r="H12" s="13">
        <v>3890.61</v>
      </c>
      <c r="J12" s="1">
        <v>546</v>
      </c>
      <c r="K12" s="2">
        <v>2000</v>
      </c>
      <c r="L12" s="1" t="s">
        <v>25</v>
      </c>
      <c r="M12" s="1" t="s">
        <v>16</v>
      </c>
      <c r="N12" s="1" t="s">
        <v>21</v>
      </c>
      <c r="O12" s="1">
        <v>740.44278473913005</v>
      </c>
      <c r="P12" s="8">
        <f t="shared" si="1"/>
        <v>2352.0990322634075</v>
      </c>
      <c r="Q12" s="13">
        <v>2000</v>
      </c>
      <c r="AB12" s="1">
        <v>789</v>
      </c>
      <c r="AC12" s="1"/>
      <c r="AD12" s="1" t="s">
        <v>82</v>
      </c>
      <c r="AE12" s="1"/>
      <c r="AF12" s="1"/>
      <c r="AG12" s="1">
        <v>212.525474405925</v>
      </c>
      <c r="AH12" s="1">
        <f t="shared" si="3"/>
        <v>545.77716322731305</v>
      </c>
      <c r="AI12" s="30">
        <v>545.78</v>
      </c>
      <c r="AK12" s="1">
        <v>291</v>
      </c>
      <c r="AL12" s="2">
        <v>4000</v>
      </c>
      <c r="AM12" s="1" t="s">
        <v>84</v>
      </c>
      <c r="AN12" s="1"/>
      <c r="AO12" s="1"/>
      <c r="AP12" s="1">
        <v>1125.79803911934</v>
      </c>
      <c r="AQ12" s="1">
        <f t="shared" si="4"/>
        <v>3670.9905706507343</v>
      </c>
      <c r="AR12" s="30">
        <v>4000</v>
      </c>
      <c r="AT12" s="1">
        <v>119</v>
      </c>
      <c r="AU12" s="22">
        <v>4000</v>
      </c>
      <c r="AV12" s="1" t="s">
        <v>88</v>
      </c>
      <c r="AW12" s="1"/>
      <c r="AX12" s="1"/>
      <c r="AY12" s="1">
        <v>1453.8225024497799</v>
      </c>
      <c r="AZ12" s="1">
        <f t="shared" si="5"/>
        <v>4792.9990743821672</v>
      </c>
      <c r="BA12" s="30">
        <v>4792.99</v>
      </c>
      <c r="BB12" s="5"/>
      <c r="BD12" s="1">
        <v>682</v>
      </c>
      <c r="BE12" s="1"/>
      <c r="BF12" s="1" t="s">
        <v>89</v>
      </c>
      <c r="BG12" s="1"/>
      <c r="BH12" s="1"/>
      <c r="BI12" s="1">
        <v>409.00633132545101</v>
      </c>
      <c r="BJ12" s="1">
        <f t="shared" si="6"/>
        <v>1218.0560632631632</v>
      </c>
      <c r="BK12" s="30">
        <v>1218.06</v>
      </c>
    </row>
    <row r="13" spans="1:63" ht="30" x14ac:dyDescent="0.25">
      <c r="A13" s="1">
        <v>477</v>
      </c>
      <c r="B13" s="1"/>
      <c r="C13" s="1" t="s">
        <v>30</v>
      </c>
      <c r="D13" s="1" t="s">
        <v>17</v>
      </c>
      <c r="E13" s="1"/>
      <c r="F13" s="6">
        <v>364.79451057135498</v>
      </c>
      <c r="G13" s="8">
        <f t="shared" si="0"/>
        <v>1066.7808973709482</v>
      </c>
      <c r="H13" s="13">
        <v>1066.78</v>
      </c>
      <c r="J13" s="1">
        <v>547</v>
      </c>
      <c r="K13" s="1"/>
      <c r="L13" s="1" t="s">
        <v>25</v>
      </c>
      <c r="M13" s="1" t="s">
        <v>12</v>
      </c>
      <c r="N13" s="1" t="s">
        <v>13</v>
      </c>
      <c r="O13" s="1">
        <v>125.491431385783</v>
      </c>
      <c r="P13" s="8">
        <f t="shared" si="1"/>
        <v>247.98148162959515</v>
      </c>
      <c r="Q13" s="13">
        <v>247.98</v>
      </c>
      <c r="S13" s="60" t="s">
        <v>52</v>
      </c>
      <c r="T13" s="60"/>
      <c r="U13" s="60"/>
      <c r="V13" s="60"/>
      <c r="W13" s="60"/>
      <c r="X13" s="60"/>
      <c r="Y13" s="60"/>
      <c r="Z13" s="60"/>
      <c r="AB13" s="1">
        <v>790</v>
      </c>
      <c r="AC13" s="1"/>
      <c r="AD13" s="1" t="s">
        <v>82</v>
      </c>
      <c r="AE13" s="1"/>
      <c r="AF13" s="1"/>
      <c r="AG13" s="1">
        <v>86.105545154036093</v>
      </c>
      <c r="AH13" s="1">
        <f t="shared" si="3"/>
        <v>113.21873329904989</v>
      </c>
      <c r="AI13" s="30">
        <v>113.22</v>
      </c>
      <c r="AK13" s="1">
        <v>292</v>
      </c>
      <c r="AL13" s="2">
        <v>4000</v>
      </c>
      <c r="AM13" s="1" t="s">
        <v>84</v>
      </c>
      <c r="AN13" s="1"/>
      <c r="AO13" s="1"/>
      <c r="AP13" s="1">
        <v>1051.4559917096699</v>
      </c>
      <c r="AQ13" s="1">
        <f t="shared" si="4"/>
        <v>3416.6218212338067</v>
      </c>
      <c r="AR13" s="30">
        <v>4000</v>
      </c>
      <c r="AT13" s="1">
        <v>121</v>
      </c>
      <c r="AU13" s="21">
        <v>260</v>
      </c>
      <c r="AV13" s="1" t="s">
        <v>88</v>
      </c>
      <c r="AW13" s="1"/>
      <c r="AX13" s="1"/>
      <c r="AY13" s="1">
        <v>671.473148512698</v>
      </c>
      <c r="AZ13" s="1">
        <f t="shared" si="5"/>
        <v>2116.1125249510474</v>
      </c>
      <c r="BA13" s="30">
        <v>2116.11</v>
      </c>
      <c r="BB13" s="5"/>
      <c r="BD13" s="1">
        <v>683</v>
      </c>
      <c r="BE13" s="2">
        <v>5000</v>
      </c>
      <c r="BF13" s="1" t="s">
        <v>89</v>
      </c>
      <c r="BG13" s="1"/>
      <c r="BH13" s="1"/>
      <c r="BI13" s="1">
        <v>987.87259857583797</v>
      </c>
      <c r="BJ13" s="1">
        <f t="shared" si="6"/>
        <v>3198.7048832870873</v>
      </c>
      <c r="BK13" s="30">
        <v>5000</v>
      </c>
    </row>
    <row r="14" spans="1:63" ht="30" x14ac:dyDescent="0.25">
      <c r="A14" s="1">
        <v>478</v>
      </c>
      <c r="B14" s="2">
        <v>1600</v>
      </c>
      <c r="C14" s="1" t="s">
        <v>30</v>
      </c>
      <c r="D14" s="1" t="s">
        <v>12</v>
      </c>
      <c r="E14" s="1"/>
      <c r="F14" s="6">
        <v>385.02592958976197</v>
      </c>
      <c r="G14" s="8">
        <f t="shared" si="0"/>
        <v>1136.0047206843296</v>
      </c>
      <c r="H14" s="13">
        <v>1600</v>
      </c>
      <c r="J14" s="1">
        <v>548</v>
      </c>
      <c r="K14" s="1"/>
      <c r="L14" s="1" t="s">
        <v>25</v>
      </c>
      <c r="M14" s="1" t="s">
        <v>16</v>
      </c>
      <c r="N14" s="1" t="s">
        <v>24</v>
      </c>
      <c r="O14" s="1">
        <v>244.12104451449699</v>
      </c>
      <c r="P14" s="8">
        <f t="shared" si="1"/>
        <v>653.88456591080296</v>
      </c>
      <c r="Q14" s="13">
        <v>653.88</v>
      </c>
      <c r="S14" s="1" t="s">
        <v>0</v>
      </c>
      <c r="T14" s="1" t="s">
        <v>1</v>
      </c>
      <c r="U14" s="1" t="s">
        <v>2</v>
      </c>
      <c r="V14" s="1" t="s">
        <v>3</v>
      </c>
      <c r="W14" s="1" t="s">
        <v>4</v>
      </c>
      <c r="X14" s="1" t="s">
        <v>54</v>
      </c>
      <c r="Y14" s="17" t="s">
        <v>41</v>
      </c>
      <c r="Z14" s="12" t="s">
        <v>42</v>
      </c>
      <c r="AB14" s="1">
        <v>791</v>
      </c>
      <c r="AC14" s="1"/>
      <c r="AD14" s="1" t="s">
        <v>82</v>
      </c>
      <c r="AE14" s="1"/>
      <c r="AF14" s="1"/>
      <c r="AG14" s="1">
        <v>580.56369963436396</v>
      </c>
      <c r="AH14" s="1">
        <f t="shared" si="3"/>
        <v>1805.0567546689397</v>
      </c>
      <c r="AI14" s="30">
        <v>1805.06</v>
      </c>
      <c r="AK14" s="1">
        <v>293</v>
      </c>
      <c r="AL14" s="2">
        <v>5000</v>
      </c>
      <c r="AM14" s="1" t="s">
        <v>84</v>
      </c>
      <c r="AN14" s="1"/>
      <c r="AO14" s="1"/>
      <c r="AP14" s="1">
        <v>1603.9670927452601</v>
      </c>
      <c r="AQ14" s="1">
        <f t="shared" si="4"/>
        <v>5307.0938045371822</v>
      </c>
      <c r="AR14" s="30">
        <v>5000</v>
      </c>
      <c r="AT14" s="1">
        <v>175</v>
      </c>
      <c r="AU14" s="2">
        <v>12000</v>
      </c>
      <c r="AV14" s="1" t="s">
        <v>88</v>
      </c>
      <c r="AW14" s="1"/>
      <c r="AX14" s="1"/>
      <c r="AY14" s="1">
        <v>3322.7396413134102</v>
      </c>
      <c r="AZ14" s="1">
        <f t="shared" si="5"/>
        <v>11187.685956717965</v>
      </c>
      <c r="BA14" s="30">
        <v>12000</v>
      </c>
      <c r="BB14" s="5"/>
      <c r="BD14" s="1">
        <v>684</v>
      </c>
      <c r="BE14" s="2">
        <v>7000</v>
      </c>
      <c r="BF14" s="1" t="s">
        <v>89</v>
      </c>
      <c r="BG14" s="1"/>
      <c r="BH14" s="1"/>
      <c r="BI14" s="1">
        <v>1065.3142216159799</v>
      </c>
      <c r="BJ14" s="1">
        <f t="shared" si="6"/>
        <v>3463.6791406812372</v>
      </c>
      <c r="BK14" s="30">
        <v>7000</v>
      </c>
    </row>
    <row r="15" spans="1:63" ht="30" x14ac:dyDescent="0.25">
      <c r="A15" s="1">
        <v>479</v>
      </c>
      <c r="B15" s="1"/>
      <c r="C15" s="1" t="s">
        <v>30</v>
      </c>
      <c r="D15" s="1" t="s">
        <v>12</v>
      </c>
      <c r="E15" s="1"/>
      <c r="F15" s="6">
        <v>139.968266116661</v>
      </c>
      <c r="G15" s="8">
        <f t="shared" si="0"/>
        <v>297.51541934476734</v>
      </c>
      <c r="H15" s="13">
        <v>297.52</v>
      </c>
      <c r="J15" s="1">
        <v>549</v>
      </c>
      <c r="K15" s="2">
        <v>6000</v>
      </c>
      <c r="L15" s="1" t="s">
        <v>25</v>
      </c>
      <c r="M15" s="1" t="s">
        <v>16</v>
      </c>
      <c r="N15" s="1" t="s">
        <v>29</v>
      </c>
      <c r="O15" s="1">
        <v>1699.70490426998</v>
      </c>
      <c r="P15" s="8">
        <f t="shared" si="1"/>
        <v>5634.3103004501645</v>
      </c>
      <c r="Q15" s="13">
        <v>6000</v>
      </c>
      <c r="S15" s="1">
        <v>696</v>
      </c>
      <c r="T15" s="1"/>
      <c r="U15" s="1" t="s">
        <v>83</v>
      </c>
      <c r="V15" s="1"/>
      <c r="W15" s="1"/>
      <c r="X15" s="1">
        <v>368.13510640788502</v>
      </c>
      <c r="Y15" s="1">
        <f>3.4216*X15-181.04</f>
        <v>1078.5710800852196</v>
      </c>
      <c r="Z15" s="30">
        <v>1078.57</v>
      </c>
      <c r="AB15" s="1">
        <v>792</v>
      </c>
      <c r="AC15" s="22">
        <v>1500</v>
      </c>
      <c r="AD15" s="1" t="s">
        <v>82</v>
      </c>
      <c r="AE15" s="1"/>
      <c r="AF15" s="1"/>
      <c r="AG15" s="1">
        <v>386.04514759865202</v>
      </c>
      <c r="AH15" s="1">
        <f t="shared" si="3"/>
        <v>1139.4920770235478</v>
      </c>
      <c r="AI15" s="30">
        <v>1139.49</v>
      </c>
      <c r="AK15" s="1">
        <v>294</v>
      </c>
      <c r="AL15" s="1"/>
      <c r="AM15" s="1" t="s">
        <v>84</v>
      </c>
      <c r="AN15" s="1"/>
      <c r="AO15" s="1"/>
      <c r="AP15" s="1">
        <v>882.756951631167</v>
      </c>
      <c r="AQ15" s="1">
        <f t="shared" si="4"/>
        <v>2839.401185701201</v>
      </c>
      <c r="AR15" s="30">
        <v>2839.4</v>
      </c>
      <c r="AT15" s="1">
        <v>177</v>
      </c>
      <c r="AU15" s="1"/>
      <c r="AV15" s="1" t="s">
        <v>88</v>
      </c>
      <c r="AW15" s="1"/>
      <c r="AX15" s="1"/>
      <c r="AY15" s="1">
        <v>553.68791903502802</v>
      </c>
      <c r="AZ15" s="1">
        <f t="shared" si="5"/>
        <v>1713.0985837702519</v>
      </c>
      <c r="BA15" s="30">
        <v>1713.1</v>
      </c>
      <c r="BB15" s="5"/>
      <c r="BD15" s="1">
        <v>685</v>
      </c>
      <c r="BE15" s="35">
        <v>8500</v>
      </c>
      <c r="BF15" s="1" t="s">
        <v>89</v>
      </c>
      <c r="BG15" s="1"/>
      <c r="BH15" s="1"/>
      <c r="BI15" s="1">
        <v>1101.9829567366201</v>
      </c>
      <c r="BJ15" s="1">
        <f t="shared" si="6"/>
        <v>3589.1448847700194</v>
      </c>
      <c r="BK15" s="30">
        <v>8500</v>
      </c>
    </row>
    <row r="16" spans="1:63" ht="30" x14ac:dyDescent="0.25">
      <c r="A16" s="1">
        <v>567</v>
      </c>
      <c r="B16" s="1"/>
      <c r="C16" s="1" t="s">
        <v>30</v>
      </c>
      <c r="D16" s="1" t="s">
        <v>14</v>
      </c>
      <c r="E16" s="1"/>
      <c r="F16" s="6">
        <v>1776.79186131763</v>
      </c>
      <c r="G16" s="8">
        <f t="shared" si="0"/>
        <v>5898.0710326844037</v>
      </c>
      <c r="H16" s="13">
        <v>5898.07</v>
      </c>
      <c r="J16" s="1">
        <v>565</v>
      </c>
      <c r="K16" s="1"/>
      <c r="L16" s="1" t="s">
        <v>25</v>
      </c>
      <c r="M16" s="1" t="s">
        <v>14</v>
      </c>
      <c r="N16" s="1" t="s">
        <v>20</v>
      </c>
      <c r="O16" s="1">
        <v>126.351108156115</v>
      </c>
      <c r="P16" s="8">
        <f t="shared" si="1"/>
        <v>250.92295166696314</v>
      </c>
      <c r="Q16" s="13">
        <v>250.92</v>
      </c>
      <c r="S16" s="1">
        <v>697</v>
      </c>
      <c r="T16" s="21">
        <v>300</v>
      </c>
      <c r="U16" s="1" t="s">
        <v>83</v>
      </c>
      <c r="V16" s="1"/>
      <c r="W16" s="1"/>
      <c r="X16" s="1">
        <v>251.44086131206899</v>
      </c>
      <c r="Y16" s="1">
        <f t="shared" ref="Y16:Y29" si="8">3.4216*X16-181.04</f>
        <v>679.29005106537534</v>
      </c>
      <c r="Z16" s="30">
        <v>679.29</v>
      </c>
      <c r="AB16" s="1">
        <v>793</v>
      </c>
      <c r="AC16" s="22">
        <v>3000</v>
      </c>
      <c r="AD16" s="1" t="s">
        <v>82</v>
      </c>
      <c r="AE16" s="1"/>
      <c r="AF16" s="1"/>
      <c r="AG16" s="1">
        <v>463.31990190940201</v>
      </c>
      <c r="AH16" s="1">
        <f t="shared" si="3"/>
        <v>1403.89537637321</v>
      </c>
      <c r="AI16" s="30">
        <v>1403.89</v>
      </c>
      <c r="AK16" s="1">
        <v>320</v>
      </c>
      <c r="AL16" s="1"/>
      <c r="AM16" s="1" t="s">
        <v>84</v>
      </c>
      <c r="AN16" s="1"/>
      <c r="AO16" s="1"/>
      <c r="AP16" s="1">
        <v>167.594076233473</v>
      </c>
      <c r="AQ16" s="1">
        <f t="shared" si="4"/>
        <v>392.39989124045132</v>
      </c>
      <c r="AR16" s="30">
        <v>392.4</v>
      </c>
      <c r="AT16" s="1">
        <v>178</v>
      </c>
      <c r="AU16" s="1">
        <v>300</v>
      </c>
      <c r="AV16" s="1" t="s">
        <v>88</v>
      </c>
      <c r="AW16" s="1"/>
      <c r="AX16" s="1"/>
      <c r="AY16" s="1">
        <v>229.56317577242601</v>
      </c>
      <c r="AZ16" s="1">
        <f t="shared" si="5"/>
        <v>604.07336222293293</v>
      </c>
      <c r="BA16" s="30">
        <v>300</v>
      </c>
      <c r="BB16" s="5"/>
      <c r="BD16" s="1">
        <v>686</v>
      </c>
      <c r="BE16" s="21">
        <v>30</v>
      </c>
      <c r="BF16" s="1" t="s">
        <v>89</v>
      </c>
      <c r="BG16" s="1"/>
      <c r="BH16" s="1"/>
      <c r="BI16" s="1">
        <v>282.47262116042702</v>
      </c>
      <c r="BJ16" s="1">
        <f t="shared" si="6"/>
        <v>785.10832056251718</v>
      </c>
      <c r="BK16" s="30">
        <v>785.11</v>
      </c>
    </row>
    <row r="17" spans="1:63" ht="30" x14ac:dyDescent="0.25">
      <c r="A17" s="1">
        <v>568</v>
      </c>
      <c r="B17" s="1">
        <v>500</v>
      </c>
      <c r="C17" s="1" t="s">
        <v>30</v>
      </c>
      <c r="D17" s="1" t="s">
        <v>12</v>
      </c>
      <c r="E17" s="1"/>
      <c r="F17" s="6">
        <v>208.57158844753101</v>
      </c>
      <c r="G17" s="8">
        <f t="shared" si="0"/>
        <v>532.24854703207222</v>
      </c>
      <c r="H17" s="13">
        <v>500</v>
      </c>
      <c r="J17" s="1">
        <v>566</v>
      </c>
      <c r="K17" s="1"/>
      <c r="L17" s="1" t="s">
        <v>25</v>
      </c>
      <c r="M17" s="1" t="s">
        <v>14</v>
      </c>
      <c r="N17" s="1" t="s">
        <v>13</v>
      </c>
      <c r="O17" s="1">
        <v>22.847836535440599</v>
      </c>
      <c r="P17" s="8">
        <f t="shared" si="1"/>
        <v>-103.22384251033644</v>
      </c>
      <c r="Q17" s="13">
        <v>22.84</v>
      </c>
      <c r="S17" s="1">
        <v>703</v>
      </c>
      <c r="T17" s="1"/>
      <c r="U17" s="1" t="s">
        <v>83</v>
      </c>
      <c r="V17" s="1"/>
      <c r="W17" s="1"/>
      <c r="X17" s="1">
        <v>67.1274295014355</v>
      </c>
      <c r="Y17" s="1">
        <f t="shared" si="8"/>
        <v>48.643212782111732</v>
      </c>
      <c r="Z17" s="30">
        <v>67.13</v>
      </c>
      <c r="AB17" s="1">
        <v>816</v>
      </c>
      <c r="AC17" s="1"/>
      <c r="AD17" s="1" t="s">
        <v>82</v>
      </c>
      <c r="AE17" s="1"/>
      <c r="AF17" s="1"/>
      <c r="AG17" s="1">
        <v>150.874938916236</v>
      </c>
      <c r="AH17" s="1">
        <f t="shared" si="3"/>
        <v>334.83369099579318</v>
      </c>
      <c r="AI17" s="30">
        <v>334.83</v>
      </c>
      <c r="AK17" s="1">
        <v>321</v>
      </c>
      <c r="AL17" s="1"/>
      <c r="AM17" s="1" t="s">
        <v>84</v>
      </c>
      <c r="AN17" s="1"/>
      <c r="AO17" s="1"/>
      <c r="AP17" s="1">
        <v>1457.92668404438</v>
      </c>
      <c r="AQ17" s="1">
        <f t="shared" si="4"/>
        <v>4807.401942126251</v>
      </c>
      <c r="AR17" s="30">
        <v>4807.3999999999996</v>
      </c>
      <c r="AT17" s="1">
        <v>179</v>
      </c>
      <c r="AU17" s="2">
        <v>4000</v>
      </c>
      <c r="AV17" s="1" t="s">
        <v>88</v>
      </c>
      <c r="AW17" s="1"/>
      <c r="AX17" s="1"/>
      <c r="AY17" s="1">
        <v>988.54327214465297</v>
      </c>
      <c r="AZ17" s="1">
        <f t="shared" si="5"/>
        <v>3200.9996599701449</v>
      </c>
      <c r="BA17" s="30">
        <v>4000</v>
      </c>
      <c r="BB17" s="5"/>
      <c r="BD17" s="1">
        <v>687</v>
      </c>
      <c r="BE17" s="1"/>
      <c r="BF17" s="1" t="s">
        <v>89</v>
      </c>
      <c r="BG17" s="1"/>
      <c r="BH17" s="1"/>
      <c r="BI17" s="1">
        <v>250.98598539251401</v>
      </c>
      <c r="BJ17" s="1">
        <f t="shared" si="6"/>
        <v>677.37364761902597</v>
      </c>
      <c r="BK17" s="30">
        <v>677.37</v>
      </c>
    </row>
    <row r="18" spans="1:63" ht="30" x14ac:dyDescent="0.25">
      <c r="A18" s="1">
        <v>569</v>
      </c>
      <c r="B18" s="2">
        <v>5400</v>
      </c>
      <c r="C18" s="1" t="s">
        <v>30</v>
      </c>
      <c r="D18" s="1" t="s">
        <v>14</v>
      </c>
      <c r="E18" s="1"/>
      <c r="F18" s="6">
        <v>1845.6843212655399</v>
      </c>
      <c r="G18" s="8">
        <f t="shared" si="0"/>
        <v>6133.7934736421721</v>
      </c>
      <c r="H18" s="13">
        <v>5400</v>
      </c>
      <c r="J18" s="1">
        <v>674</v>
      </c>
      <c r="K18" s="1"/>
      <c r="L18" s="1" t="s">
        <v>25</v>
      </c>
      <c r="M18" s="1" t="s">
        <v>17</v>
      </c>
      <c r="N18" s="1">
        <v>0</v>
      </c>
      <c r="O18" s="1">
        <v>234.630486834462</v>
      </c>
      <c r="P18" s="8">
        <f t="shared" si="1"/>
        <v>621.41167375279531</v>
      </c>
      <c r="Q18" s="13">
        <v>621.41</v>
      </c>
      <c r="S18" s="1">
        <v>747</v>
      </c>
      <c r="T18" s="1"/>
      <c r="U18" s="1" t="s">
        <v>83</v>
      </c>
      <c r="V18" s="1"/>
      <c r="W18" s="1"/>
      <c r="X18" s="1">
        <v>157.155074529844</v>
      </c>
      <c r="Y18" s="1">
        <f t="shared" si="8"/>
        <v>356.68180301131429</v>
      </c>
      <c r="Z18" s="30">
        <v>356.68</v>
      </c>
      <c r="AB18" s="1">
        <v>818</v>
      </c>
      <c r="AC18" s="21">
        <v>200</v>
      </c>
      <c r="AD18" s="1" t="s">
        <v>82</v>
      </c>
      <c r="AE18" s="1"/>
      <c r="AF18" s="1"/>
      <c r="AG18" s="1">
        <v>282.18997665731803</v>
      </c>
      <c r="AH18" s="1">
        <f t="shared" si="3"/>
        <v>784.14122413067946</v>
      </c>
      <c r="AI18" s="30">
        <v>784.14</v>
      </c>
      <c r="AK18" s="1">
        <v>322</v>
      </c>
      <c r="AL18" s="1"/>
      <c r="AM18" s="1" t="s">
        <v>84</v>
      </c>
      <c r="AN18" s="1"/>
      <c r="AO18" s="1"/>
      <c r="AP18" s="1">
        <v>4001.0298942179202</v>
      </c>
      <c r="AQ18" s="1">
        <f t="shared" si="4"/>
        <v>13508.883886056035</v>
      </c>
      <c r="AR18" s="30">
        <v>13508.88</v>
      </c>
      <c r="AT18" s="1">
        <v>28</v>
      </c>
      <c r="AU18" s="22">
        <v>15000</v>
      </c>
      <c r="AV18" s="1" t="s">
        <v>88</v>
      </c>
      <c r="AW18" s="1"/>
      <c r="AX18" s="1"/>
      <c r="AY18" s="1">
        <v>11325.519142524199</v>
      </c>
      <c r="AZ18" s="1">
        <f t="shared" si="5"/>
        <v>38569.996298060803</v>
      </c>
      <c r="BA18" s="30">
        <v>38569.99</v>
      </c>
      <c r="BB18" s="5"/>
      <c r="BD18" s="1">
        <v>691</v>
      </c>
      <c r="BE18" s="21">
        <v>500</v>
      </c>
      <c r="BF18" s="1" t="s">
        <v>89</v>
      </c>
      <c r="BG18" s="1"/>
      <c r="BH18" s="1"/>
      <c r="BI18" s="1">
        <v>764.15516072928096</v>
      </c>
      <c r="BJ18" s="1">
        <f t="shared" si="6"/>
        <v>2433.233297951308</v>
      </c>
      <c r="BK18" s="30">
        <v>2433.23</v>
      </c>
    </row>
    <row r="19" spans="1:63" ht="30" x14ac:dyDescent="0.25">
      <c r="A19" s="1">
        <v>570</v>
      </c>
      <c r="B19" s="2">
        <v>3750</v>
      </c>
      <c r="C19" s="1" t="s">
        <v>30</v>
      </c>
      <c r="D19" s="1" t="s">
        <v>14</v>
      </c>
      <c r="E19" s="1"/>
      <c r="F19" s="6">
        <v>1793.65924776732</v>
      </c>
      <c r="G19" s="8">
        <f t="shared" si="0"/>
        <v>5955.7844821606632</v>
      </c>
      <c r="H19" s="13">
        <v>3750</v>
      </c>
      <c r="J19" s="1">
        <v>730</v>
      </c>
      <c r="K19" s="2">
        <v>160000</v>
      </c>
      <c r="L19" s="1" t="s">
        <v>25</v>
      </c>
      <c r="M19" s="1" t="s">
        <v>7</v>
      </c>
      <c r="N19" s="1" t="s">
        <v>37</v>
      </c>
      <c r="O19" s="1">
        <v>24014.351257070801</v>
      </c>
      <c r="P19" s="8">
        <f t="shared" si="1"/>
        <v>81986.104261193468</v>
      </c>
      <c r="Q19" s="13">
        <v>160000</v>
      </c>
      <c r="S19" s="1">
        <v>748</v>
      </c>
      <c r="T19" s="1"/>
      <c r="U19" s="1" t="s">
        <v>83</v>
      </c>
      <c r="V19" s="1"/>
      <c r="W19" s="1"/>
      <c r="X19" s="1">
        <v>668.20578748954904</v>
      </c>
      <c r="Y19" s="1">
        <f t="shared" si="8"/>
        <v>2105.2929224742411</v>
      </c>
      <c r="Z19" s="30">
        <v>2105.29</v>
      </c>
      <c r="AB19" s="1">
        <v>819</v>
      </c>
      <c r="AC19" s="36">
        <v>300</v>
      </c>
      <c r="AD19" s="1" t="s">
        <v>82</v>
      </c>
      <c r="AE19" s="1"/>
      <c r="AF19" s="1"/>
      <c r="AG19" s="1">
        <v>39.787100799323198</v>
      </c>
      <c r="AH19" s="1">
        <f t="shared" si="3"/>
        <v>-45.264455905035732</v>
      </c>
      <c r="AI19" s="30">
        <v>300</v>
      </c>
      <c r="AK19" s="1">
        <v>324</v>
      </c>
      <c r="AL19" s="1"/>
      <c r="AM19" s="1" t="s">
        <v>84</v>
      </c>
      <c r="AN19" s="1"/>
      <c r="AO19" s="1"/>
      <c r="AP19" s="1">
        <v>2414.2048799584099</v>
      </c>
      <c r="AQ19" s="1">
        <f t="shared" si="4"/>
        <v>8079.4034172656966</v>
      </c>
      <c r="AR19" s="30">
        <v>8079.4</v>
      </c>
      <c r="AT19" s="1">
        <v>38</v>
      </c>
      <c r="AU19" s="1"/>
      <c r="AV19" s="1" t="s">
        <v>88</v>
      </c>
      <c r="AW19" s="1"/>
      <c r="AX19" s="1"/>
      <c r="AY19" s="1">
        <v>1000.7739859057</v>
      </c>
      <c r="AZ19" s="1">
        <f t="shared" si="5"/>
        <v>3242.8482701749431</v>
      </c>
      <c r="BA19" s="30">
        <v>3242.85</v>
      </c>
      <c r="BB19" s="5"/>
      <c r="BD19" s="1">
        <v>740</v>
      </c>
      <c r="BE19" s="1"/>
      <c r="BF19" s="1" t="s">
        <v>89</v>
      </c>
      <c r="BG19" s="1"/>
      <c r="BH19" s="1"/>
      <c r="BI19" s="1">
        <v>92.461183815817407</v>
      </c>
      <c r="BJ19" s="1">
        <f t="shared" si="6"/>
        <v>134.96518654420086</v>
      </c>
      <c r="BK19" s="30">
        <v>134.97</v>
      </c>
    </row>
    <row r="20" spans="1:63" ht="30" x14ac:dyDescent="0.25">
      <c r="A20" s="1">
        <v>572</v>
      </c>
      <c r="B20" s="1"/>
      <c r="C20" s="1" t="s">
        <v>30</v>
      </c>
      <c r="D20" s="1" t="s">
        <v>17</v>
      </c>
      <c r="E20" s="1"/>
      <c r="F20" s="6">
        <v>1156.2764078800601</v>
      </c>
      <c r="G20" s="8">
        <f t="shared" si="0"/>
        <v>3774.9153572024138</v>
      </c>
      <c r="H20" s="13">
        <v>3774.92</v>
      </c>
      <c r="J20" s="1">
        <v>731</v>
      </c>
      <c r="K20" s="1"/>
      <c r="L20" s="1" t="s">
        <v>27</v>
      </c>
      <c r="M20" s="1" t="s">
        <v>17</v>
      </c>
      <c r="N20" s="1" t="s">
        <v>23</v>
      </c>
      <c r="O20" s="1">
        <v>120.29508174745401</v>
      </c>
      <c r="P20" s="8">
        <f t="shared" si="1"/>
        <v>230.20165170708864</v>
      </c>
      <c r="Q20" s="13">
        <v>230.2</v>
      </c>
      <c r="S20" s="1">
        <v>749</v>
      </c>
      <c r="T20" s="1"/>
      <c r="U20" s="1" t="s">
        <v>83</v>
      </c>
      <c r="V20" s="1"/>
      <c r="W20" s="1"/>
      <c r="X20" s="1">
        <v>139.70245392775499</v>
      </c>
      <c r="Y20" s="1">
        <f t="shared" si="8"/>
        <v>296.96591635920652</v>
      </c>
      <c r="Z20" s="30">
        <v>296.97000000000003</v>
      </c>
      <c r="AB20" s="1">
        <v>820</v>
      </c>
      <c r="AC20" s="1"/>
      <c r="AD20" s="1" t="s">
        <v>82</v>
      </c>
      <c r="AE20" s="1"/>
      <c r="AF20" s="1"/>
      <c r="AG20" s="1">
        <v>59.999189885254097</v>
      </c>
      <c r="AH20" s="1">
        <f t="shared" si="3"/>
        <v>23.893228111385412</v>
      </c>
      <c r="AI20" s="30">
        <v>60</v>
      </c>
      <c r="AK20" s="1">
        <v>325</v>
      </c>
      <c r="AL20" s="1"/>
      <c r="AM20" s="1" t="s">
        <v>84</v>
      </c>
      <c r="AN20" s="1"/>
      <c r="AO20" s="1"/>
      <c r="AP20" s="1">
        <v>160.21119625516499</v>
      </c>
      <c r="AQ20" s="1">
        <f t="shared" si="4"/>
        <v>367.13862910667262</v>
      </c>
      <c r="AR20" s="30">
        <v>367.14</v>
      </c>
      <c r="AT20" s="1">
        <v>390</v>
      </c>
      <c r="AU20" s="2">
        <v>20000</v>
      </c>
      <c r="AV20" s="1" t="s">
        <v>88</v>
      </c>
      <c r="AW20" s="1"/>
      <c r="AX20" s="1"/>
      <c r="AY20" s="1">
        <v>4730.8092091454</v>
      </c>
      <c r="AZ20" s="1">
        <f t="shared" si="5"/>
        <v>16005.536790011902</v>
      </c>
      <c r="BA20" s="30">
        <v>20000</v>
      </c>
      <c r="BB20" s="5"/>
      <c r="BD20" s="1">
        <v>741</v>
      </c>
      <c r="BE20" s="1"/>
      <c r="BF20" s="1" t="s">
        <v>89</v>
      </c>
      <c r="BG20" s="1"/>
      <c r="BH20" s="1"/>
      <c r="BI20" s="1">
        <v>168.70815769962499</v>
      </c>
      <c r="BJ20" s="1">
        <f t="shared" si="6"/>
        <v>395.85183238503691</v>
      </c>
      <c r="BK20" s="30">
        <v>398.58</v>
      </c>
    </row>
    <row r="21" spans="1:63" ht="30" x14ac:dyDescent="0.25">
      <c r="A21" s="1">
        <v>573</v>
      </c>
      <c r="B21" s="1"/>
      <c r="C21" s="1" t="s">
        <v>30</v>
      </c>
      <c r="D21" s="1" t="s">
        <v>10</v>
      </c>
      <c r="E21" s="1"/>
      <c r="F21" s="6">
        <v>4350.2233992208303</v>
      </c>
      <c r="G21" s="8">
        <f t="shared" si="0"/>
        <v>14703.324382773993</v>
      </c>
      <c r="H21" s="13">
        <v>14703.32</v>
      </c>
      <c r="J21" s="1">
        <v>732</v>
      </c>
      <c r="K21" s="1"/>
      <c r="L21" s="1" t="s">
        <v>25</v>
      </c>
      <c r="M21" s="1" t="s">
        <v>12</v>
      </c>
      <c r="N21" s="1" t="s">
        <v>21</v>
      </c>
      <c r="O21" s="1">
        <v>943.89716769183201</v>
      </c>
      <c r="P21" s="8">
        <f t="shared" si="1"/>
        <v>3048.2385489743724</v>
      </c>
      <c r="Q21" s="13">
        <v>3048.24</v>
      </c>
      <c r="S21" s="1">
        <v>750</v>
      </c>
      <c r="T21" s="1"/>
      <c r="U21" s="1" t="s">
        <v>83</v>
      </c>
      <c r="V21" s="1"/>
      <c r="W21" s="1"/>
      <c r="X21" s="1">
        <v>221.71663432002001</v>
      </c>
      <c r="Y21" s="1">
        <f t="shared" si="8"/>
        <v>577.58563598938053</v>
      </c>
      <c r="Z21" s="30">
        <v>577.59</v>
      </c>
      <c r="AB21" s="1">
        <v>821</v>
      </c>
      <c r="AC21" s="1"/>
      <c r="AD21" s="1" t="s">
        <v>82</v>
      </c>
      <c r="AE21" s="1"/>
      <c r="AF21" s="1"/>
      <c r="AG21" s="1">
        <v>63.698370566166197</v>
      </c>
      <c r="AH21" s="1">
        <f t="shared" si="3"/>
        <v>36.550344729194279</v>
      </c>
      <c r="AI21" s="30">
        <v>63.7</v>
      </c>
      <c r="AK21" s="1">
        <v>326</v>
      </c>
      <c r="AL21" s="2">
        <v>20000</v>
      </c>
      <c r="AM21" s="1" t="s">
        <v>84</v>
      </c>
      <c r="AN21" s="1"/>
      <c r="AO21" s="1"/>
      <c r="AP21" s="1">
        <v>6631.4077371113599</v>
      </c>
      <c r="AQ21" s="1">
        <f t="shared" si="4"/>
        <v>22508.984713300229</v>
      </c>
      <c r="AR21" s="30">
        <v>20000</v>
      </c>
      <c r="AT21" s="1">
        <v>391</v>
      </c>
      <c r="AU21" s="1"/>
      <c r="AV21" s="1" t="s">
        <v>88</v>
      </c>
      <c r="AW21" s="1"/>
      <c r="AX21" s="1"/>
      <c r="AY21" s="1">
        <v>2237.8843182575702</v>
      </c>
      <c r="AZ21" s="1">
        <f t="shared" si="5"/>
        <v>7475.7449833501032</v>
      </c>
      <c r="BA21" s="30">
        <v>7475.75</v>
      </c>
      <c r="BB21" s="5"/>
      <c r="BD21" s="1">
        <v>742</v>
      </c>
      <c r="BE21" s="1"/>
      <c r="BF21" s="1" t="s">
        <v>89</v>
      </c>
      <c r="BG21" s="1"/>
      <c r="BH21" s="1"/>
      <c r="BI21" s="1">
        <v>288.34811102604698</v>
      </c>
      <c r="BJ21" s="1">
        <f t="shared" si="6"/>
        <v>805.21189668672241</v>
      </c>
      <c r="BK21" s="30">
        <v>805.21</v>
      </c>
    </row>
    <row r="22" spans="1:63" ht="30" x14ac:dyDescent="0.25">
      <c r="A22" s="1">
        <v>574</v>
      </c>
      <c r="B22" s="1"/>
      <c r="C22" s="1" t="s">
        <v>30</v>
      </c>
      <c r="D22" s="1" t="s">
        <v>10</v>
      </c>
      <c r="E22" s="1"/>
      <c r="F22" s="6">
        <v>4352.3136247031198</v>
      </c>
      <c r="G22" s="8">
        <f t="shared" si="0"/>
        <v>14710.476298284197</v>
      </c>
      <c r="H22" s="13">
        <v>14710.48</v>
      </c>
      <c r="J22" s="1">
        <v>733</v>
      </c>
      <c r="K22" s="1"/>
      <c r="L22" s="1" t="s">
        <v>25</v>
      </c>
      <c r="M22" s="1" t="s">
        <v>17</v>
      </c>
      <c r="N22" s="1" t="s">
        <v>23</v>
      </c>
      <c r="O22" s="1">
        <v>226.89760497755299</v>
      </c>
      <c r="P22" s="8">
        <f t="shared" si="1"/>
        <v>594.95284519119537</v>
      </c>
      <c r="Q22" s="13">
        <v>594.95000000000005</v>
      </c>
      <c r="S22" s="1">
        <v>751</v>
      </c>
      <c r="T22" s="1"/>
      <c r="U22" s="1" t="s">
        <v>83</v>
      </c>
      <c r="V22" s="1"/>
      <c r="W22" s="1"/>
      <c r="X22" s="1">
        <v>49.312279684994003</v>
      </c>
      <c r="Y22" s="1">
        <f t="shared" si="8"/>
        <v>-12.313103829824513</v>
      </c>
      <c r="Z22" s="30">
        <v>49.31</v>
      </c>
      <c r="AB22" s="1">
        <v>822</v>
      </c>
      <c r="AC22" s="1"/>
      <c r="AD22" s="1" t="s">
        <v>82</v>
      </c>
      <c r="AE22" s="1"/>
      <c r="AF22" s="1"/>
      <c r="AG22" s="1">
        <v>620.87307513584506</v>
      </c>
      <c r="AH22" s="1">
        <f t="shared" si="3"/>
        <v>1942.9793138848077</v>
      </c>
      <c r="AI22" s="30">
        <v>1942.98</v>
      </c>
      <c r="AK22" s="1">
        <v>327</v>
      </c>
      <c r="AL22" s="1"/>
      <c r="AM22" s="1" t="s">
        <v>84</v>
      </c>
      <c r="AN22" s="1"/>
      <c r="AO22" s="1"/>
      <c r="AP22" s="1">
        <v>388.61662935092602</v>
      </c>
      <c r="AQ22" s="1">
        <f t="shared" si="4"/>
        <v>1148.6506589871285</v>
      </c>
      <c r="AR22" s="30">
        <v>1148.6500000000001</v>
      </c>
      <c r="AT22" s="1">
        <v>394</v>
      </c>
      <c r="AU22" s="2">
        <v>15000</v>
      </c>
      <c r="AV22" s="1" t="s">
        <v>88</v>
      </c>
      <c r="AW22" s="1"/>
      <c r="AX22" s="1"/>
      <c r="AY22" s="1">
        <v>3543.7708693562699</v>
      </c>
      <c r="AZ22" s="1">
        <f t="shared" si="5"/>
        <v>11943.966406589414</v>
      </c>
      <c r="BA22" s="30">
        <v>15000</v>
      </c>
      <c r="BB22" s="5"/>
      <c r="BD22" s="1">
        <v>743</v>
      </c>
      <c r="BE22" s="1"/>
      <c r="BF22" s="1" t="s">
        <v>89</v>
      </c>
      <c r="BG22" s="1"/>
      <c r="BH22" s="1"/>
      <c r="BI22" s="1">
        <v>115.394717937268</v>
      </c>
      <c r="BJ22" s="1">
        <f t="shared" si="6"/>
        <v>213.43456689415618</v>
      </c>
      <c r="BK22" s="30">
        <v>213.43</v>
      </c>
    </row>
    <row r="23" spans="1:63" ht="30" x14ac:dyDescent="0.25">
      <c r="A23" s="1">
        <v>576</v>
      </c>
      <c r="B23" s="2">
        <v>140000</v>
      </c>
      <c r="C23" s="1" t="s">
        <v>30</v>
      </c>
      <c r="D23" s="1" t="s">
        <v>7</v>
      </c>
      <c r="E23" s="1"/>
      <c r="F23" s="6">
        <v>29172.960792231701</v>
      </c>
      <c r="G23" s="8">
        <f t="shared" si="0"/>
        <v>99636.802646700002</v>
      </c>
      <c r="H23" s="13">
        <v>140000</v>
      </c>
      <c r="J23" s="1">
        <v>734</v>
      </c>
      <c r="K23" s="1">
        <v>500</v>
      </c>
      <c r="L23" s="1" t="s">
        <v>25</v>
      </c>
      <c r="M23" s="1" t="s">
        <v>14</v>
      </c>
      <c r="N23" s="1" t="s">
        <v>29</v>
      </c>
      <c r="O23" s="1">
        <v>441.08182978320002</v>
      </c>
      <c r="P23" s="8">
        <f t="shared" si="1"/>
        <v>1327.8055887861972</v>
      </c>
      <c r="Q23" s="13">
        <v>500</v>
      </c>
      <c r="S23" s="1">
        <v>752</v>
      </c>
      <c r="T23" s="1"/>
      <c r="U23" s="1" t="s">
        <v>83</v>
      </c>
      <c r="V23" s="1"/>
      <c r="W23" s="1"/>
      <c r="X23" s="1">
        <v>212.397279976254</v>
      </c>
      <c r="Y23" s="1">
        <f t="shared" si="8"/>
        <v>545.69853316675074</v>
      </c>
      <c r="Z23" s="30">
        <v>545.70000000000005</v>
      </c>
      <c r="AB23" s="1">
        <v>823</v>
      </c>
      <c r="AC23" s="1"/>
      <c r="AD23" s="1" t="s">
        <v>82</v>
      </c>
      <c r="AE23" s="1"/>
      <c r="AF23" s="1"/>
      <c r="AG23" s="1">
        <v>91.024946344581906</v>
      </c>
      <c r="AH23" s="1">
        <f t="shared" si="3"/>
        <v>130.05095641262145</v>
      </c>
      <c r="AI23" s="30">
        <v>130.05000000000001</v>
      </c>
      <c r="AK23" s="1">
        <v>328</v>
      </c>
      <c r="AL23" s="1"/>
      <c r="AM23" s="1" t="s">
        <v>84</v>
      </c>
      <c r="AN23" s="1"/>
      <c r="AO23" s="1"/>
      <c r="AP23" s="1">
        <v>3292.6279500348401</v>
      </c>
      <c r="AQ23" s="1">
        <f t="shared" si="4"/>
        <v>11085.015793839209</v>
      </c>
      <c r="AR23" s="30">
        <v>11085.02</v>
      </c>
      <c r="AT23" s="1">
        <v>397</v>
      </c>
      <c r="AU23" s="1"/>
      <c r="AV23" s="1" t="s">
        <v>88</v>
      </c>
      <c r="AW23" s="1"/>
      <c r="AX23" s="1"/>
      <c r="AY23" s="1">
        <v>348.20978072193702</v>
      </c>
      <c r="AZ23" s="1">
        <f t="shared" si="5"/>
        <v>1010.0345857181798</v>
      </c>
      <c r="BA23" s="30">
        <v>1010.03</v>
      </c>
      <c r="BB23" s="5"/>
      <c r="BD23" s="1">
        <v>744</v>
      </c>
      <c r="BE23" s="1"/>
      <c r="BF23" s="1" t="s">
        <v>89</v>
      </c>
      <c r="BG23" s="1"/>
      <c r="BH23" s="1"/>
      <c r="BI23" s="1">
        <v>259.559738034796</v>
      </c>
      <c r="BJ23" s="1">
        <f t="shared" si="6"/>
        <v>706.7095996598581</v>
      </c>
      <c r="BK23" s="30">
        <v>706.71</v>
      </c>
    </row>
    <row r="24" spans="1:63" ht="30" x14ac:dyDescent="0.25">
      <c r="A24" s="1">
        <v>577</v>
      </c>
      <c r="B24" s="22">
        <v>6000</v>
      </c>
      <c r="C24" s="1" t="s">
        <v>30</v>
      </c>
      <c r="D24" s="1" t="s">
        <v>10</v>
      </c>
      <c r="E24" s="1"/>
      <c r="F24" s="6">
        <v>3411.4478646622701</v>
      </c>
      <c r="G24" s="8">
        <f t="shared" si="0"/>
        <v>11491.210013728425</v>
      </c>
      <c r="H24" s="13">
        <v>11491.21</v>
      </c>
      <c r="J24" s="1">
        <v>735</v>
      </c>
      <c r="K24" s="1"/>
      <c r="L24" s="1" t="s">
        <v>25</v>
      </c>
      <c r="M24" s="1" t="s">
        <v>14</v>
      </c>
      <c r="N24" s="1" t="s">
        <v>29</v>
      </c>
      <c r="O24" s="1">
        <v>284.45815962432198</v>
      </c>
      <c r="P24" s="8">
        <f t="shared" si="1"/>
        <v>791.90203897058018</v>
      </c>
      <c r="Q24" s="13">
        <v>791.9</v>
      </c>
      <c r="S24" s="1">
        <v>753</v>
      </c>
      <c r="T24" s="1"/>
      <c r="U24" s="1" t="s">
        <v>83</v>
      </c>
      <c r="V24" s="1"/>
      <c r="W24" s="1"/>
      <c r="X24" s="1">
        <v>509.93447400154503</v>
      </c>
      <c r="Y24" s="1">
        <f t="shared" si="8"/>
        <v>1563.7517962436866</v>
      </c>
      <c r="Z24" s="30">
        <v>1563.75</v>
      </c>
      <c r="AB24" s="1">
        <v>824</v>
      </c>
      <c r="AC24" s="1"/>
      <c r="AD24" s="1" t="s">
        <v>82</v>
      </c>
      <c r="AE24" s="1"/>
      <c r="AF24" s="1"/>
      <c r="AG24" s="1">
        <v>353.66004469316999</v>
      </c>
      <c r="AH24" s="1">
        <f t="shared" si="3"/>
        <v>1028.6832089221505</v>
      </c>
      <c r="AI24" s="30">
        <v>1028.68</v>
      </c>
      <c r="AK24" s="1">
        <v>329</v>
      </c>
      <c r="AL24" s="1"/>
      <c r="AM24" s="1" t="s">
        <v>84</v>
      </c>
      <c r="AN24" s="1"/>
      <c r="AO24" s="1"/>
      <c r="AP24" s="1">
        <v>3372.9318848052199</v>
      </c>
      <c r="AQ24" s="1">
        <f t="shared" si="4"/>
        <v>11359.78373704954</v>
      </c>
      <c r="AR24" s="30">
        <v>11359.78</v>
      </c>
      <c r="AT24" s="1">
        <v>398</v>
      </c>
      <c r="AU24" s="2">
        <v>2000</v>
      </c>
      <c r="AV24" s="1" t="s">
        <v>88</v>
      </c>
      <c r="AW24" s="1"/>
      <c r="AX24" s="1"/>
      <c r="AY24" s="1">
        <v>816.60364761292794</v>
      </c>
      <c r="AZ24" s="1">
        <f t="shared" si="5"/>
        <v>2612.6910406723941</v>
      </c>
      <c r="BA24" s="30">
        <v>2000</v>
      </c>
      <c r="BB24" s="5"/>
      <c r="BD24" s="1">
        <v>746</v>
      </c>
      <c r="BE24" s="1"/>
      <c r="BF24" s="1" t="s">
        <v>89</v>
      </c>
      <c r="BG24" s="1"/>
      <c r="BH24" s="1"/>
      <c r="BI24" s="1">
        <v>138.078569798274</v>
      </c>
      <c r="BJ24" s="1">
        <f t="shared" si="6"/>
        <v>291.04963442177439</v>
      </c>
      <c r="BK24" s="30">
        <v>291.05</v>
      </c>
    </row>
    <row r="25" spans="1:63" ht="30" x14ac:dyDescent="0.25">
      <c r="A25" s="1">
        <v>578</v>
      </c>
      <c r="B25" s="1"/>
      <c r="C25" s="1" t="s">
        <v>30</v>
      </c>
      <c r="D25" s="1" t="s">
        <v>10</v>
      </c>
      <c r="E25" s="1"/>
      <c r="F25" s="6">
        <v>788.13573453560696</v>
      </c>
      <c r="G25" s="8">
        <f t="shared" si="0"/>
        <v>2515.285229287033</v>
      </c>
      <c r="H25" s="13">
        <v>2515.29</v>
      </c>
      <c r="J25" s="1">
        <v>736</v>
      </c>
      <c r="K25" s="2">
        <v>1500</v>
      </c>
      <c r="L25" s="1" t="s">
        <v>25</v>
      </c>
      <c r="M25" s="1" t="s">
        <v>14</v>
      </c>
      <c r="N25" s="1" t="s">
        <v>21</v>
      </c>
      <c r="O25" s="1">
        <v>188.321600146912</v>
      </c>
      <c r="P25" s="8">
        <f t="shared" si="1"/>
        <v>462.96118706267418</v>
      </c>
      <c r="Q25" s="13">
        <v>1500</v>
      </c>
      <c r="S25" s="1">
        <v>754</v>
      </c>
      <c r="T25" s="1"/>
      <c r="U25" s="1" t="s">
        <v>83</v>
      </c>
      <c r="V25" s="1"/>
      <c r="W25" s="1"/>
      <c r="X25" s="1">
        <v>584.17604722373198</v>
      </c>
      <c r="Y25" s="1">
        <f t="shared" si="8"/>
        <v>1817.7767631807214</v>
      </c>
      <c r="Z25" s="30">
        <v>1817.78</v>
      </c>
      <c r="AB25" s="1">
        <v>826</v>
      </c>
      <c r="AC25" s="1"/>
      <c r="AD25" s="1" t="s">
        <v>82</v>
      </c>
      <c r="AE25" s="1"/>
      <c r="AF25" s="1"/>
      <c r="AG25" s="1">
        <v>104.045737887732</v>
      </c>
      <c r="AH25" s="1">
        <f t="shared" si="3"/>
        <v>174.60289675666385</v>
      </c>
      <c r="AI25" s="30">
        <v>174.6</v>
      </c>
      <c r="AK25" s="1">
        <v>330</v>
      </c>
      <c r="AL25" s="2">
        <v>3000</v>
      </c>
      <c r="AM25" s="1" t="s">
        <v>84</v>
      </c>
      <c r="AN25" s="1"/>
      <c r="AO25" s="1"/>
      <c r="AP25" s="1">
        <v>860.91368191895003</v>
      </c>
      <c r="AQ25" s="1">
        <f t="shared" si="4"/>
        <v>2764.6622540538797</v>
      </c>
      <c r="AR25" s="30">
        <v>3000</v>
      </c>
      <c r="AT25" s="1">
        <v>476</v>
      </c>
      <c r="AU25" s="1"/>
      <c r="AV25" s="1" t="s">
        <v>88</v>
      </c>
      <c r="AW25" s="1"/>
      <c r="AX25" s="1"/>
      <c r="AY25" s="1">
        <v>513.88670462919004</v>
      </c>
      <c r="AZ25" s="1">
        <f t="shared" si="5"/>
        <v>1576.9147485592366</v>
      </c>
      <c r="BA25" s="30">
        <v>1576.91</v>
      </c>
      <c r="BB25" s="5"/>
      <c r="BD25" s="1">
        <v>761</v>
      </c>
      <c r="BE25" s="1"/>
      <c r="BF25" s="1" t="s">
        <v>89</v>
      </c>
      <c r="BG25" s="1"/>
      <c r="BH25" s="1"/>
      <c r="BI25" s="1">
        <v>154.96093313501899</v>
      </c>
      <c r="BJ25" s="1">
        <f t="shared" si="6"/>
        <v>348.81432881478099</v>
      </c>
      <c r="BK25" s="30">
        <v>348.81</v>
      </c>
    </row>
    <row r="26" spans="1:63" ht="30" x14ac:dyDescent="0.25">
      <c r="A26" s="1">
        <v>579</v>
      </c>
      <c r="B26" s="2">
        <v>4500</v>
      </c>
      <c r="C26" s="1" t="s">
        <v>30</v>
      </c>
      <c r="D26" s="1" t="s">
        <v>12</v>
      </c>
      <c r="E26" s="1"/>
      <c r="F26" s="6">
        <v>1777.8644641789199</v>
      </c>
      <c r="G26" s="8">
        <f t="shared" si="0"/>
        <v>5901.7410506345932</v>
      </c>
      <c r="H26" s="13">
        <v>4500</v>
      </c>
      <c r="J26" s="1">
        <v>739</v>
      </c>
      <c r="K26" s="1"/>
      <c r="L26" s="1" t="s">
        <v>25</v>
      </c>
      <c r="M26" s="1" t="s">
        <v>16</v>
      </c>
      <c r="N26" s="1" t="s">
        <v>20</v>
      </c>
      <c r="O26" s="1">
        <v>163.225098907004</v>
      </c>
      <c r="P26" s="8">
        <f t="shared" si="1"/>
        <v>377.09099842020498</v>
      </c>
      <c r="Q26" s="13">
        <v>377.09</v>
      </c>
      <c r="S26" s="1">
        <v>755</v>
      </c>
      <c r="T26" s="1"/>
      <c r="U26" s="1" t="s">
        <v>83</v>
      </c>
      <c r="V26" s="1"/>
      <c r="W26" s="1"/>
      <c r="X26" s="1">
        <v>66.164470329632493</v>
      </c>
      <c r="Y26" s="1">
        <f t="shared" si="8"/>
        <v>45.348351679870547</v>
      </c>
      <c r="Z26" s="30">
        <v>66.16</v>
      </c>
      <c r="AB26" s="1">
        <v>827</v>
      </c>
      <c r="AC26" s="1"/>
      <c r="AD26" s="1" t="s">
        <v>82</v>
      </c>
      <c r="AE26" s="1"/>
      <c r="AF26" s="1"/>
      <c r="AG26" s="1">
        <v>1158.76748254936</v>
      </c>
      <c r="AH26" s="1">
        <f t="shared" si="3"/>
        <v>3783.4388182908901</v>
      </c>
      <c r="AI26" s="30">
        <v>3783.44</v>
      </c>
      <c r="AK26" s="1">
        <v>333</v>
      </c>
      <c r="AL26" s="1"/>
      <c r="AM26" s="1" t="s">
        <v>84</v>
      </c>
      <c r="AN26" s="1"/>
      <c r="AO26" s="1"/>
      <c r="AP26" s="1">
        <v>570.94585097197603</v>
      </c>
      <c r="AQ26" s="1">
        <f t="shared" si="4"/>
        <v>1772.5083236857133</v>
      </c>
      <c r="AR26" s="30">
        <v>1772.51</v>
      </c>
      <c r="AT26" s="1">
        <v>509</v>
      </c>
      <c r="AU26" s="22">
        <v>3200</v>
      </c>
      <c r="AV26" s="1" t="s">
        <v>88</v>
      </c>
      <c r="AW26" s="1"/>
      <c r="AX26" s="1"/>
      <c r="AY26" s="1">
        <v>1641.5974439178999</v>
      </c>
      <c r="AZ26" s="1">
        <f t="shared" si="5"/>
        <v>5435.4898141094873</v>
      </c>
      <c r="BA26" s="30">
        <v>5435.49</v>
      </c>
      <c r="BB26" s="5"/>
      <c r="BD26" s="1">
        <v>762</v>
      </c>
      <c r="BE26" s="1"/>
      <c r="BF26" s="1" t="s">
        <v>89</v>
      </c>
      <c r="BG26" s="1"/>
      <c r="BH26" s="1"/>
      <c r="BI26" s="1">
        <v>901.45516743534097</v>
      </c>
      <c r="BJ26" s="1">
        <f t="shared" si="6"/>
        <v>2903.0190008967629</v>
      </c>
      <c r="BK26" s="30">
        <v>2903.02</v>
      </c>
    </row>
    <row r="27" spans="1:63" ht="30" x14ac:dyDescent="0.25">
      <c r="A27" s="1">
        <v>580</v>
      </c>
      <c r="B27" s="22">
        <v>1500</v>
      </c>
      <c r="C27" s="1" t="s">
        <v>30</v>
      </c>
      <c r="D27" s="1" t="s">
        <v>14</v>
      </c>
      <c r="E27" s="1"/>
      <c r="F27" s="6">
        <v>1501.7543723250301</v>
      </c>
      <c r="G27" s="8">
        <f t="shared" si="0"/>
        <v>4957.0027603473236</v>
      </c>
      <c r="H27" s="13">
        <v>4957</v>
      </c>
      <c r="J27" s="1">
        <v>757</v>
      </c>
      <c r="K27" s="22">
        <v>5000</v>
      </c>
      <c r="L27" s="1" t="s">
        <v>25</v>
      </c>
      <c r="M27" s="1" t="s">
        <v>16</v>
      </c>
      <c r="N27" s="1" t="s">
        <v>38</v>
      </c>
      <c r="O27" s="1">
        <v>1886.1252763827499</v>
      </c>
      <c r="P27" s="8">
        <f t="shared" si="1"/>
        <v>6272.1662456712174</v>
      </c>
      <c r="Q27" s="13">
        <v>6272.17</v>
      </c>
      <c r="S27" s="1">
        <v>756</v>
      </c>
      <c r="T27" s="1"/>
      <c r="U27" s="1" t="s">
        <v>83</v>
      </c>
      <c r="V27" s="1"/>
      <c r="W27" s="1"/>
      <c r="X27" s="1">
        <v>737.81672400441198</v>
      </c>
      <c r="Y27" s="1">
        <f t="shared" si="8"/>
        <v>2343.4737028534964</v>
      </c>
      <c r="Z27" s="30">
        <v>2343.4699999999998</v>
      </c>
      <c r="AB27" s="1">
        <v>828</v>
      </c>
      <c r="AC27" s="1"/>
      <c r="AD27" s="1" t="s">
        <v>82</v>
      </c>
      <c r="AE27" s="1"/>
      <c r="AF27" s="1"/>
      <c r="AG27" s="1">
        <v>191.83968521491801</v>
      </c>
      <c r="AH27" s="1">
        <f t="shared" si="3"/>
        <v>474.99866693136346</v>
      </c>
      <c r="AI27" s="30">
        <v>474.99</v>
      </c>
      <c r="AK27" s="1">
        <v>335</v>
      </c>
      <c r="AL27" s="1"/>
      <c r="AM27" s="1" t="s">
        <v>84</v>
      </c>
      <c r="AN27" s="1"/>
      <c r="AO27" s="1"/>
      <c r="AP27" s="1">
        <v>432.69509876092502</v>
      </c>
      <c r="AQ27" s="1">
        <f t="shared" si="4"/>
        <v>1299.4695499203813</v>
      </c>
      <c r="AR27" s="30">
        <v>1299.47</v>
      </c>
      <c r="AT27" s="1">
        <v>571</v>
      </c>
      <c r="AU27" s="2">
        <v>2800</v>
      </c>
      <c r="AV27" s="1" t="s">
        <v>88</v>
      </c>
      <c r="AW27" s="1"/>
      <c r="AX27" s="1"/>
      <c r="AY27" s="1">
        <v>1348.5415188684999</v>
      </c>
      <c r="AZ27" s="1">
        <f t="shared" si="5"/>
        <v>4432.76966096046</v>
      </c>
      <c r="BA27" s="30">
        <v>2800</v>
      </c>
      <c r="BB27" s="5"/>
      <c r="BD27" s="1">
        <v>763</v>
      </c>
      <c r="BE27" s="1"/>
      <c r="BF27" s="1" t="s">
        <v>89</v>
      </c>
      <c r="BG27" s="1"/>
      <c r="BH27" s="1"/>
      <c r="BI27" s="1">
        <v>51.512117984407098</v>
      </c>
      <c r="BJ27" s="1">
        <f t="shared" si="6"/>
        <v>-5.1461371045526789</v>
      </c>
      <c r="BK27" s="30">
        <v>51.51</v>
      </c>
    </row>
    <row r="28" spans="1:63" ht="30" x14ac:dyDescent="0.25">
      <c r="A28" s="1">
        <v>581</v>
      </c>
      <c r="B28" s="35">
        <v>10000</v>
      </c>
      <c r="C28" s="1" t="s">
        <v>30</v>
      </c>
      <c r="D28" s="1" t="s">
        <v>17</v>
      </c>
      <c r="E28" s="1"/>
      <c r="F28" s="6">
        <v>2933.7111784675399</v>
      </c>
      <c r="G28" s="8">
        <f t="shared" si="0"/>
        <v>9856.5861682445357</v>
      </c>
      <c r="H28" s="13">
        <v>10000</v>
      </c>
      <c r="J28" s="1">
        <v>758</v>
      </c>
      <c r="K28" s="1"/>
      <c r="L28" s="1" t="s">
        <v>25</v>
      </c>
      <c r="M28" s="1" t="s">
        <v>16</v>
      </c>
      <c r="N28" s="1" t="s">
        <v>13</v>
      </c>
      <c r="O28" s="1">
        <v>100.878642724705</v>
      </c>
      <c r="P28" s="8">
        <f t="shared" si="1"/>
        <v>163.76636394685065</v>
      </c>
      <c r="Q28" s="13">
        <v>163.77000000000001</v>
      </c>
      <c r="S28" s="10">
        <v>773</v>
      </c>
      <c r="T28" s="1"/>
      <c r="U28" s="1" t="s">
        <v>83</v>
      </c>
      <c r="V28" s="1"/>
      <c r="W28" s="1"/>
      <c r="X28" s="1">
        <v>196.69426610975501</v>
      </c>
      <c r="Y28" s="1">
        <f t="shared" si="8"/>
        <v>491.96910092113785</v>
      </c>
      <c r="Z28" s="30">
        <v>491.97</v>
      </c>
      <c r="AB28" s="1">
        <v>829</v>
      </c>
      <c r="AC28" s="1"/>
      <c r="AD28" s="1" t="s">
        <v>82</v>
      </c>
      <c r="AE28" s="1"/>
      <c r="AF28" s="1"/>
      <c r="AG28" s="1">
        <v>282.59519119040402</v>
      </c>
      <c r="AH28" s="1">
        <f t="shared" si="3"/>
        <v>785.52770617708643</v>
      </c>
      <c r="AI28" s="30">
        <v>785.53</v>
      </c>
      <c r="AK28" s="1">
        <v>336</v>
      </c>
      <c r="AL28" s="22">
        <v>15000</v>
      </c>
      <c r="AM28" s="1" t="s">
        <v>84</v>
      </c>
      <c r="AN28" s="1"/>
      <c r="AO28" s="1"/>
      <c r="AP28" s="1">
        <v>2786.5207192589301</v>
      </c>
      <c r="AQ28" s="1">
        <f t="shared" si="4"/>
        <v>9353.319293016355</v>
      </c>
      <c r="AR28" s="30">
        <v>9353.32</v>
      </c>
      <c r="AT28" s="1">
        <v>584</v>
      </c>
      <c r="AU28" s="1"/>
      <c r="AV28" s="1" t="s">
        <v>88</v>
      </c>
      <c r="AW28" s="1"/>
      <c r="AX28" s="1"/>
      <c r="AY28" s="1">
        <v>227.86643982361099</v>
      </c>
      <c r="AZ28" s="1">
        <f t="shared" si="5"/>
        <v>598.26781050046748</v>
      </c>
      <c r="BA28" s="30">
        <v>598.27</v>
      </c>
      <c r="BB28" s="5"/>
      <c r="BD28" s="1">
        <v>764</v>
      </c>
      <c r="BE28" s="21">
        <v>900</v>
      </c>
      <c r="BF28" s="1" t="s">
        <v>89</v>
      </c>
      <c r="BG28" s="1"/>
      <c r="BH28" s="1"/>
      <c r="BI28" s="1">
        <v>1775.1566695763299</v>
      </c>
      <c r="BJ28" s="1">
        <f t="shared" si="6"/>
        <v>5892.4760606223708</v>
      </c>
      <c r="BK28" s="30">
        <v>5892.48</v>
      </c>
    </row>
    <row r="29" spans="1:63" ht="30" x14ac:dyDescent="0.25">
      <c r="A29" s="1">
        <v>582</v>
      </c>
      <c r="B29" s="21">
        <v>140</v>
      </c>
      <c r="C29" s="1" t="s">
        <v>30</v>
      </c>
      <c r="D29" s="1" t="s">
        <v>12</v>
      </c>
      <c r="E29" s="1"/>
      <c r="F29" s="6">
        <v>264.52129338345298</v>
      </c>
      <c r="G29" s="8">
        <f t="shared" si="0"/>
        <v>723.68605744082276</v>
      </c>
      <c r="H29" s="13">
        <v>723.69</v>
      </c>
      <c r="J29" s="1">
        <v>760</v>
      </c>
      <c r="K29" s="1"/>
      <c r="L29" s="1" t="s">
        <v>25</v>
      </c>
      <c r="M29" s="1" t="s">
        <v>16</v>
      </c>
      <c r="N29" s="1" t="s">
        <v>21</v>
      </c>
      <c r="O29" s="1">
        <v>319.06457749861698</v>
      </c>
      <c r="P29" s="8">
        <f t="shared" si="1"/>
        <v>910.31135836926785</v>
      </c>
      <c r="Q29" s="13">
        <v>910.31</v>
      </c>
      <c r="S29" s="26">
        <v>774</v>
      </c>
      <c r="T29" s="38"/>
      <c r="U29" s="1" t="s">
        <v>83</v>
      </c>
      <c r="V29" s="1"/>
      <c r="W29" s="1"/>
      <c r="X29" s="10">
        <v>524.11812868426205</v>
      </c>
      <c r="Y29" s="1">
        <f t="shared" si="8"/>
        <v>1612.2825891060711</v>
      </c>
      <c r="Z29" s="32">
        <v>1612.28</v>
      </c>
      <c r="AB29" s="1">
        <v>919</v>
      </c>
      <c r="AC29" s="1"/>
      <c r="AD29" s="1" t="s">
        <v>82</v>
      </c>
      <c r="AE29" s="1"/>
      <c r="AF29" s="1"/>
      <c r="AG29" s="10">
        <v>83.720312022051303</v>
      </c>
      <c r="AH29" s="10">
        <f t="shared" si="3"/>
        <v>105.05741961465074</v>
      </c>
      <c r="AI29" s="32">
        <v>105.06</v>
      </c>
      <c r="AK29" s="1">
        <v>337</v>
      </c>
      <c r="AL29" s="1"/>
      <c r="AM29" s="1" t="s">
        <v>84</v>
      </c>
      <c r="AN29" s="1"/>
      <c r="AO29" s="1"/>
      <c r="AP29" s="1">
        <v>2363.32191519151</v>
      </c>
      <c r="AQ29" s="1">
        <f t="shared" si="4"/>
        <v>7905.3022650192715</v>
      </c>
      <c r="AR29" s="30">
        <v>7905.3</v>
      </c>
      <c r="AT29" s="1">
        <v>588</v>
      </c>
      <c r="AU29" s="22">
        <v>2000</v>
      </c>
      <c r="AV29" s="1" t="s">
        <v>88</v>
      </c>
      <c r="AW29" s="1"/>
      <c r="AX29" s="1"/>
      <c r="AY29" s="1">
        <v>942.87161804955099</v>
      </c>
      <c r="AZ29" s="1">
        <f t="shared" si="5"/>
        <v>3044.7295283183439</v>
      </c>
      <c r="BA29" s="30">
        <v>3044.73</v>
      </c>
      <c r="BB29" s="5"/>
      <c r="BD29" s="1">
        <v>779</v>
      </c>
      <c r="BE29" s="1"/>
      <c r="BF29" s="1" t="s">
        <v>89</v>
      </c>
      <c r="BG29" s="1"/>
      <c r="BH29" s="1"/>
      <c r="BI29" s="1">
        <v>225.9671247871</v>
      </c>
      <c r="BJ29" s="1">
        <f t="shared" si="6"/>
        <v>591.76911417154145</v>
      </c>
      <c r="BK29" s="30">
        <v>591.77</v>
      </c>
    </row>
    <row r="30" spans="1:63" ht="28.9" x14ac:dyDescent="0.3">
      <c r="A30" s="1">
        <v>583</v>
      </c>
      <c r="B30" s="1"/>
      <c r="C30" s="1" t="s">
        <v>30</v>
      </c>
      <c r="D30" s="1" t="s">
        <v>10</v>
      </c>
      <c r="E30" s="1"/>
      <c r="F30" s="6">
        <v>1241.4574224725</v>
      </c>
      <c r="G30" s="8">
        <f t="shared" si="0"/>
        <v>4066.3707167319058</v>
      </c>
      <c r="H30" s="13">
        <v>4066.37</v>
      </c>
      <c r="J30" s="1">
        <v>765</v>
      </c>
      <c r="K30" s="2">
        <v>2500</v>
      </c>
      <c r="L30" s="1" t="s">
        <v>25</v>
      </c>
      <c r="M30" s="1" t="s">
        <v>16</v>
      </c>
      <c r="N30" s="1" t="s">
        <v>21</v>
      </c>
      <c r="O30" s="1">
        <v>851.52405324761605</v>
      </c>
      <c r="P30" s="8">
        <f t="shared" si="1"/>
        <v>2732.1747005920433</v>
      </c>
      <c r="Q30" s="13">
        <v>2500</v>
      </c>
      <c r="S30" s="3"/>
      <c r="T30" s="5"/>
      <c r="U30" s="5"/>
      <c r="V30" s="5"/>
      <c r="W30" s="5"/>
      <c r="X30" s="8">
        <f>SUM(X15:X29)</f>
        <v>4754.0970175031434</v>
      </c>
      <c r="Y30" s="8">
        <f t="shared" ref="Y30:Z30" si="9">SUM(Y15:Y29)</f>
        <v>13551.01835508876</v>
      </c>
      <c r="Z30" s="13">
        <f t="shared" si="9"/>
        <v>13651.939999999999</v>
      </c>
      <c r="AB30" s="5"/>
      <c r="AC30" s="5"/>
      <c r="AD30" s="5"/>
      <c r="AE30" s="5"/>
      <c r="AF30" s="5"/>
      <c r="AG30" s="8">
        <f>SUM(AG3:AG29)</f>
        <v>11952.520182156784</v>
      </c>
      <c r="AH30" s="8">
        <f t="shared" ref="AH30:AI30" si="10">SUM(AH3:AH29)</f>
        <v>35998.943055267642</v>
      </c>
      <c r="AI30" s="13">
        <f t="shared" si="10"/>
        <v>41921.69</v>
      </c>
      <c r="AK30" s="1">
        <v>341</v>
      </c>
      <c r="AL30" s="22">
        <v>3000</v>
      </c>
      <c r="AM30" s="1" t="s">
        <v>84</v>
      </c>
      <c r="AN30" s="1"/>
      <c r="AO30" s="1"/>
      <c r="AP30" s="1">
        <v>3216.7034242838599</v>
      </c>
      <c r="AQ30" s="1">
        <f t="shared" si="4"/>
        <v>10825.232436529655</v>
      </c>
      <c r="AR30" s="30">
        <v>10825.23</v>
      </c>
      <c r="AT30" s="1">
        <v>589</v>
      </c>
      <c r="AU30" s="1"/>
      <c r="AV30" s="1" t="s">
        <v>88</v>
      </c>
      <c r="AW30" s="1"/>
      <c r="AX30" s="1"/>
      <c r="AY30" s="1">
        <v>290.97976874236298</v>
      </c>
      <c r="AZ30" s="1">
        <f t="shared" si="5"/>
        <v>814.21637672886925</v>
      </c>
      <c r="BA30" s="30">
        <v>814.22</v>
      </c>
      <c r="BB30" s="5"/>
      <c r="BD30" s="1">
        <v>781</v>
      </c>
      <c r="BE30" s="1"/>
      <c r="BF30" s="1" t="s">
        <v>89</v>
      </c>
      <c r="BG30" s="1"/>
      <c r="BH30" s="1"/>
      <c r="BI30" s="1">
        <v>59.423519151515599</v>
      </c>
      <c r="BJ30" s="1">
        <f t="shared" si="6"/>
        <v>21.923513128825789</v>
      </c>
      <c r="BK30" s="30">
        <v>59.42</v>
      </c>
    </row>
    <row r="31" spans="1:63" ht="28.9" x14ac:dyDescent="0.3">
      <c r="A31" s="1">
        <v>585</v>
      </c>
      <c r="B31" s="1"/>
      <c r="C31" s="1" t="s">
        <v>30</v>
      </c>
      <c r="D31" s="1" t="s">
        <v>12</v>
      </c>
      <c r="E31" s="1"/>
      <c r="F31" s="6">
        <v>211.02179941576301</v>
      </c>
      <c r="G31" s="8">
        <f t="shared" si="0"/>
        <v>540.63218888097481</v>
      </c>
      <c r="H31" s="13">
        <v>540.63</v>
      </c>
      <c r="J31" s="1">
        <v>777</v>
      </c>
      <c r="K31" s="1"/>
      <c r="L31" s="1" t="s">
        <v>25</v>
      </c>
      <c r="M31" s="1" t="s">
        <v>10</v>
      </c>
      <c r="N31" s="1" t="s">
        <v>29</v>
      </c>
      <c r="O31" s="1">
        <v>307.37611627845899</v>
      </c>
      <c r="P31" s="8">
        <f t="shared" si="1"/>
        <v>870.31811945837546</v>
      </c>
      <c r="Q31" s="13">
        <v>870.32</v>
      </c>
      <c r="AK31" s="1">
        <v>688</v>
      </c>
      <c r="AL31" s="2">
        <v>4000</v>
      </c>
      <c r="AM31" s="1" t="s">
        <v>84</v>
      </c>
      <c r="AN31" s="1"/>
      <c r="AO31" s="1"/>
      <c r="AP31" s="1">
        <v>1408.9210771309499</v>
      </c>
      <c r="AQ31" s="1">
        <f t="shared" si="4"/>
        <v>4639.7243575112589</v>
      </c>
      <c r="AR31" s="30">
        <v>4000</v>
      </c>
      <c r="AT31" s="1">
        <v>590</v>
      </c>
      <c r="AU31" s="22">
        <v>6400</v>
      </c>
      <c r="AV31" s="1" t="s">
        <v>88</v>
      </c>
      <c r="AW31" s="1"/>
      <c r="AX31" s="1"/>
      <c r="AY31" s="1">
        <v>3719.1414245839201</v>
      </c>
      <c r="AZ31" s="1">
        <f t="shared" si="5"/>
        <v>12544.014298356342</v>
      </c>
      <c r="BA31" s="30">
        <v>12544.01</v>
      </c>
      <c r="BB31" s="5"/>
      <c r="BD31" s="1">
        <v>782</v>
      </c>
      <c r="BE31" s="21">
        <v>100</v>
      </c>
      <c r="BF31" s="1" t="s">
        <v>89</v>
      </c>
      <c r="BG31" s="1"/>
      <c r="BH31" s="1"/>
      <c r="BI31" s="1">
        <v>703.06944135452295</v>
      </c>
      <c r="BJ31" s="1">
        <f t="shared" si="6"/>
        <v>2224.2224005386356</v>
      </c>
      <c r="BK31" s="30">
        <v>2224.2199999999998</v>
      </c>
    </row>
    <row r="32" spans="1:63" ht="28.9" x14ac:dyDescent="0.3">
      <c r="A32" s="1">
        <v>592</v>
      </c>
      <c r="B32" s="2">
        <v>3000</v>
      </c>
      <c r="C32" s="1" t="s">
        <v>30</v>
      </c>
      <c r="D32" s="1" t="s">
        <v>12</v>
      </c>
      <c r="E32" s="1"/>
      <c r="F32" s="6">
        <v>768.37750736310102</v>
      </c>
      <c r="G32" s="8">
        <f t="shared" si="0"/>
        <v>2447.6804791935865</v>
      </c>
      <c r="H32" s="13">
        <v>3000</v>
      </c>
      <c r="J32" s="1">
        <v>778</v>
      </c>
      <c r="K32" s="2">
        <v>4000</v>
      </c>
      <c r="L32" s="1" t="s">
        <v>25</v>
      </c>
      <c r="M32" s="1" t="s">
        <v>16</v>
      </c>
      <c r="N32" s="1" t="s">
        <v>33</v>
      </c>
      <c r="O32" s="1">
        <v>1091.45569724087</v>
      </c>
      <c r="P32" s="8">
        <f t="shared" si="1"/>
        <v>3553.1248136793611</v>
      </c>
      <c r="Q32" s="13">
        <v>4000</v>
      </c>
      <c r="AK32" s="1">
        <v>689</v>
      </c>
      <c r="AL32" s="22">
        <v>5000</v>
      </c>
      <c r="AM32" s="1" t="s">
        <v>84</v>
      </c>
      <c r="AN32" s="1"/>
      <c r="AO32" s="1"/>
      <c r="AP32" s="1">
        <v>2342.7758346451601</v>
      </c>
      <c r="AQ32" s="1">
        <f t="shared" si="4"/>
        <v>7835.0017958218805</v>
      </c>
      <c r="AR32" s="30">
        <v>7835</v>
      </c>
      <c r="AT32" s="1">
        <v>591</v>
      </c>
      <c r="AU32" s="1"/>
      <c r="AV32" s="1" t="s">
        <v>88</v>
      </c>
      <c r="AW32" s="1"/>
      <c r="AX32" s="1"/>
      <c r="AY32" s="1">
        <v>945.471438417581</v>
      </c>
      <c r="AZ32" s="1">
        <f t="shared" si="5"/>
        <v>3053.6250736895954</v>
      </c>
      <c r="BA32" s="30">
        <v>3053.63</v>
      </c>
      <c r="BB32" s="5"/>
      <c r="BD32" s="1">
        <v>783</v>
      </c>
      <c r="BE32" s="2">
        <v>30000</v>
      </c>
      <c r="BF32" s="1" t="s">
        <v>89</v>
      </c>
      <c r="BG32" s="1"/>
      <c r="BH32" s="1"/>
      <c r="BI32" s="1">
        <v>5003.6409303788796</v>
      </c>
      <c r="BJ32" s="1">
        <f t="shared" si="6"/>
        <v>16939.057807384375</v>
      </c>
      <c r="BK32" s="30">
        <v>30000</v>
      </c>
    </row>
    <row r="33" spans="1:63" ht="28.9" x14ac:dyDescent="0.35">
      <c r="A33" s="1">
        <v>593</v>
      </c>
      <c r="B33" s="2">
        <v>2000</v>
      </c>
      <c r="C33" s="1" t="s">
        <v>30</v>
      </c>
      <c r="D33" s="1" t="s">
        <v>16</v>
      </c>
      <c r="E33" s="1"/>
      <c r="F33" s="6">
        <v>1134.7482599500299</v>
      </c>
      <c r="G33" s="8">
        <f t="shared" si="0"/>
        <v>3701.2546462450227</v>
      </c>
      <c r="H33" s="13">
        <v>2000</v>
      </c>
      <c r="J33" s="1">
        <v>884</v>
      </c>
      <c r="K33" s="1"/>
      <c r="L33" s="1" t="s">
        <v>25</v>
      </c>
      <c r="M33" s="1" t="s">
        <v>14</v>
      </c>
      <c r="N33" s="1" t="s">
        <v>13</v>
      </c>
      <c r="O33" s="1">
        <v>64.863366888366599</v>
      </c>
      <c r="P33" s="8">
        <f t="shared" si="1"/>
        <v>40.536496145235162</v>
      </c>
      <c r="Q33" s="13">
        <v>64.86</v>
      </c>
      <c r="U33" s="45" t="s">
        <v>81</v>
      </c>
      <c r="V33" s="7" t="s">
        <v>54</v>
      </c>
      <c r="W33" s="7" t="s">
        <v>97</v>
      </c>
      <c r="X33" s="8" t="s">
        <v>96</v>
      </c>
      <c r="Y33" s="8" t="s">
        <v>98</v>
      </c>
      <c r="AK33" s="1">
        <v>690</v>
      </c>
      <c r="AL33" s="22">
        <v>1200</v>
      </c>
      <c r="AM33" s="1" t="s">
        <v>84</v>
      </c>
      <c r="AN33" s="1"/>
      <c r="AO33" s="1"/>
      <c r="AP33" s="1">
        <v>512.995548393381</v>
      </c>
      <c r="AQ33" s="1">
        <f t="shared" si="4"/>
        <v>1574.2255683827925</v>
      </c>
      <c r="AR33" s="30">
        <v>1574.23</v>
      </c>
      <c r="AT33" s="1">
        <v>594</v>
      </c>
      <c r="AU33" s="1"/>
      <c r="AV33" s="1" t="s">
        <v>88</v>
      </c>
      <c r="AW33" s="1"/>
      <c r="AX33" s="1"/>
      <c r="AY33" s="1">
        <v>322.81756427449699</v>
      </c>
      <c r="AZ33" s="1">
        <f t="shared" si="5"/>
        <v>923.1525779216189</v>
      </c>
      <c r="BA33" s="30">
        <v>923.15</v>
      </c>
      <c r="BB33" s="5"/>
      <c r="BD33" s="1">
        <v>784</v>
      </c>
      <c r="BE33" s="22">
        <v>6000</v>
      </c>
      <c r="BF33" s="1" t="s">
        <v>89</v>
      </c>
      <c r="BG33" s="1"/>
      <c r="BH33" s="1"/>
      <c r="BI33" s="1">
        <v>1051.12824430364</v>
      </c>
      <c r="BJ33" s="1">
        <f t="shared" si="6"/>
        <v>3415.1404007093347</v>
      </c>
      <c r="BK33" s="30">
        <v>3415.14</v>
      </c>
    </row>
    <row r="34" spans="1:63" ht="28.9" x14ac:dyDescent="0.3">
      <c r="A34" s="1">
        <v>597</v>
      </c>
      <c r="B34" s="1"/>
      <c r="C34" s="1" t="s">
        <v>30</v>
      </c>
      <c r="D34" s="1" t="s">
        <v>12</v>
      </c>
      <c r="E34" s="1"/>
      <c r="F34" s="6">
        <v>4406.6334074505603</v>
      </c>
      <c r="G34" s="8">
        <f t="shared" si="0"/>
        <v>14896.336866932839</v>
      </c>
      <c r="H34" s="13">
        <v>14896.34</v>
      </c>
      <c r="J34" s="1">
        <v>891</v>
      </c>
      <c r="K34" s="1"/>
      <c r="L34" s="1" t="s">
        <v>25</v>
      </c>
      <c r="M34" s="1" t="s">
        <v>28</v>
      </c>
      <c r="N34" s="1" t="s">
        <v>23</v>
      </c>
      <c r="O34" s="1">
        <v>84.242990243056497</v>
      </c>
      <c r="P34" s="8">
        <f t="shared" si="1"/>
        <v>106.84581541564214</v>
      </c>
      <c r="Q34" s="13">
        <v>106.85</v>
      </c>
      <c r="U34" s="8" t="s">
        <v>17</v>
      </c>
      <c r="V34" s="8">
        <f>X5</f>
        <v>1088.24483973409</v>
      </c>
      <c r="W34" s="8">
        <f>V34/7133.23987*100</f>
        <v>15.255968670153383</v>
      </c>
      <c r="X34" s="8">
        <f>Z5</f>
        <v>3542.14</v>
      </c>
      <c r="Y34" s="8">
        <f>X34/29982.72*100</f>
        <v>11.81393816171448</v>
      </c>
      <c r="AK34" s="1">
        <v>692</v>
      </c>
      <c r="AL34" s="1"/>
      <c r="AM34" s="1" t="s">
        <v>84</v>
      </c>
      <c r="AN34" s="1"/>
      <c r="AO34" s="1"/>
      <c r="AP34" s="1">
        <v>283.24141283338002</v>
      </c>
      <c r="AQ34" s="1">
        <f t="shared" si="4"/>
        <v>788.09881815069321</v>
      </c>
      <c r="AR34" s="30">
        <v>788.1</v>
      </c>
      <c r="AT34" s="1">
        <v>595</v>
      </c>
      <c r="AU34" s="22">
        <v>4500</v>
      </c>
      <c r="AV34" s="1" t="s">
        <v>88</v>
      </c>
      <c r="AW34" s="1"/>
      <c r="AX34" s="1"/>
      <c r="AY34" s="1">
        <v>1612.40314636822</v>
      </c>
      <c r="AZ34" s="1">
        <f t="shared" si="5"/>
        <v>5335.5986056135025</v>
      </c>
      <c r="BA34" s="30">
        <v>5335.6</v>
      </c>
      <c r="BB34" s="5"/>
      <c r="BD34" s="1">
        <v>785</v>
      </c>
      <c r="BE34" s="2">
        <v>2500</v>
      </c>
      <c r="BF34" s="1" t="s">
        <v>89</v>
      </c>
      <c r="BG34" s="1"/>
      <c r="BH34" s="1"/>
      <c r="BI34" s="1">
        <v>308.004955507658</v>
      </c>
      <c r="BJ34" s="1">
        <f t="shared" si="6"/>
        <v>872.46975576500279</v>
      </c>
      <c r="BK34" s="30">
        <v>2500</v>
      </c>
    </row>
    <row r="35" spans="1:63" ht="28.9" x14ac:dyDescent="0.3">
      <c r="A35" s="1">
        <v>599</v>
      </c>
      <c r="B35" s="2">
        <v>3700</v>
      </c>
      <c r="C35" s="1" t="s">
        <v>30</v>
      </c>
      <c r="D35" s="1" t="s">
        <v>14</v>
      </c>
      <c r="E35" s="1"/>
      <c r="F35" s="6">
        <v>531.13489864497205</v>
      </c>
      <c r="G35" s="8">
        <f t="shared" si="0"/>
        <v>1635.9311692036365</v>
      </c>
      <c r="H35" s="13">
        <v>3700</v>
      </c>
      <c r="J35" s="1">
        <v>908</v>
      </c>
      <c r="K35" s="1"/>
      <c r="L35" s="1" t="s">
        <v>25</v>
      </c>
      <c r="M35" s="1" t="s">
        <v>17</v>
      </c>
      <c r="N35" s="1" t="s">
        <v>24</v>
      </c>
      <c r="O35" s="1">
        <v>318.84062092033702</v>
      </c>
      <c r="P35" s="8">
        <f t="shared" si="1"/>
        <v>909.54506854102522</v>
      </c>
      <c r="Q35" s="13">
        <v>909.55</v>
      </c>
      <c r="U35" s="8" t="s">
        <v>14</v>
      </c>
      <c r="V35" s="8">
        <f>X9</f>
        <v>94.527242933219</v>
      </c>
      <c r="W35" s="8">
        <f t="shared" ref="W35:W38" si="11">V35/7133.23987*100</f>
        <v>1.3251656281848685</v>
      </c>
      <c r="X35" s="8">
        <f>Z9</f>
        <v>142.03</v>
      </c>
      <c r="Y35" s="8">
        <f t="shared" ref="Y35:Y37" si="12">X35/29982.72*100</f>
        <v>0.47370618809767756</v>
      </c>
      <c r="AK35" s="1">
        <v>693</v>
      </c>
      <c r="AL35" s="1"/>
      <c r="AM35" s="1" t="s">
        <v>84</v>
      </c>
      <c r="AN35" s="1"/>
      <c r="AO35" s="1"/>
      <c r="AP35" s="1">
        <v>209.073512701238</v>
      </c>
      <c r="AQ35" s="1">
        <f t="shared" si="4"/>
        <v>534.32593105855608</v>
      </c>
      <c r="AR35" s="30">
        <v>534.33000000000004</v>
      </c>
      <c r="AT35" s="1">
        <v>596</v>
      </c>
      <c r="AU35" s="22">
        <v>1800</v>
      </c>
      <c r="AV35" s="1" t="s">
        <v>88</v>
      </c>
      <c r="AW35" s="1"/>
      <c r="AX35" s="1"/>
      <c r="AY35" s="1">
        <v>1028.9441274768101</v>
      </c>
      <c r="AZ35" s="1">
        <f t="shared" si="5"/>
        <v>3339.2352265746536</v>
      </c>
      <c r="BA35" s="30">
        <v>3339.24</v>
      </c>
      <c r="BB35" s="5"/>
      <c r="BD35" s="1">
        <v>786</v>
      </c>
      <c r="BE35" s="2">
        <v>3000</v>
      </c>
      <c r="BF35" s="1" t="s">
        <v>89</v>
      </c>
      <c r="BG35" s="1"/>
      <c r="BH35" s="1"/>
      <c r="BI35" s="1">
        <v>657.40521812163297</v>
      </c>
      <c r="BJ35" s="1">
        <f t="shared" si="6"/>
        <v>2067.9776943249794</v>
      </c>
      <c r="BK35" s="30">
        <v>3000</v>
      </c>
    </row>
    <row r="36" spans="1:63" ht="28.9" x14ac:dyDescent="0.3">
      <c r="A36" s="1">
        <v>600</v>
      </c>
      <c r="B36" s="2">
        <v>6216</v>
      </c>
      <c r="C36" s="1" t="s">
        <v>30</v>
      </c>
      <c r="D36" s="1" t="s">
        <v>14</v>
      </c>
      <c r="E36" s="1"/>
      <c r="F36" s="6">
        <v>1289.6196189285999</v>
      </c>
      <c r="G36" s="8">
        <f t="shared" si="0"/>
        <v>4231.1624881260987</v>
      </c>
      <c r="H36" s="13">
        <v>6216</v>
      </c>
      <c r="J36" s="1">
        <v>910</v>
      </c>
      <c r="K36" s="1"/>
      <c r="L36" s="1" t="s">
        <v>25</v>
      </c>
      <c r="M36" s="1" t="s">
        <v>16</v>
      </c>
      <c r="N36" s="1" t="s">
        <v>39</v>
      </c>
      <c r="O36" s="10">
        <v>477.61729712910301</v>
      </c>
      <c r="P36" s="11">
        <f t="shared" si="1"/>
        <v>1452.8153438569389</v>
      </c>
      <c r="Q36" s="13">
        <v>1452.81</v>
      </c>
      <c r="U36" s="8" t="s">
        <v>12</v>
      </c>
      <c r="V36" s="8">
        <f>X6</f>
        <v>1016.1458331443901</v>
      </c>
      <c r="W36" s="8">
        <f t="shared" si="11"/>
        <v>14.245221689767599</v>
      </c>
      <c r="X36" s="8">
        <f>Z6</f>
        <v>3295.44</v>
      </c>
      <c r="Y36" s="8">
        <f t="shared" si="12"/>
        <v>10.991130891393443</v>
      </c>
      <c r="AK36" s="1">
        <v>694</v>
      </c>
      <c r="AL36" s="1"/>
      <c r="AM36" s="1" t="s">
        <v>84</v>
      </c>
      <c r="AN36" s="1"/>
      <c r="AO36" s="1"/>
      <c r="AP36" s="1">
        <v>327.779179708936</v>
      </c>
      <c r="AQ36" s="1">
        <f t="shared" si="4"/>
        <v>940.48924129209558</v>
      </c>
      <c r="AR36" s="30">
        <v>940.49</v>
      </c>
      <c r="AT36" s="1">
        <v>598</v>
      </c>
      <c r="AU36" s="1"/>
      <c r="AV36" s="1" t="s">
        <v>88</v>
      </c>
      <c r="AW36" s="1"/>
      <c r="AX36" s="1"/>
      <c r="AY36" s="1">
        <v>349.295068084756</v>
      </c>
      <c r="AZ36" s="1">
        <f t="shared" si="5"/>
        <v>1013.7480049588013</v>
      </c>
      <c r="BA36" s="30">
        <v>1013.75</v>
      </c>
      <c r="BB36" s="5"/>
      <c r="BD36" s="1">
        <v>787</v>
      </c>
      <c r="BE36" s="1"/>
      <c r="BF36" s="1" t="s">
        <v>89</v>
      </c>
      <c r="BG36" s="1"/>
      <c r="BH36" s="1"/>
      <c r="BI36" s="1">
        <v>68.395898645712705</v>
      </c>
      <c r="BJ36" s="1">
        <f t="shared" si="6"/>
        <v>52.623406806170607</v>
      </c>
      <c r="BK36" s="30">
        <v>68.400000000000006</v>
      </c>
    </row>
    <row r="37" spans="1:63" ht="28.9" x14ac:dyDescent="0.3">
      <c r="A37" s="1">
        <v>601</v>
      </c>
      <c r="B37" s="1"/>
      <c r="C37" s="1" t="s">
        <v>30</v>
      </c>
      <c r="D37" s="1" t="s">
        <v>12</v>
      </c>
      <c r="E37" s="1"/>
      <c r="F37" s="6">
        <v>303.16165723837099</v>
      </c>
      <c r="G37" s="8">
        <f t="shared" si="0"/>
        <v>855.89792640681037</v>
      </c>
      <c r="H37" s="13">
        <v>855.89</v>
      </c>
      <c r="O37" s="8">
        <f>SUM(O3:O36)</f>
        <v>37889.319881140269</v>
      </c>
      <c r="P37" s="8">
        <f t="shared" ref="P37:Q37" si="13">SUM(P3:P36)</f>
        <v>123474.49690530956</v>
      </c>
      <c r="Q37" s="13">
        <f t="shared" si="13"/>
        <v>204446.28</v>
      </c>
      <c r="U37" s="8" t="s">
        <v>99</v>
      </c>
      <c r="V37" s="8">
        <f>X8+X7+X4+X3</f>
        <v>4934.3219571833806</v>
      </c>
      <c r="W37" s="8">
        <f t="shared" si="11"/>
        <v>69.173644053881787</v>
      </c>
      <c r="X37" s="8">
        <f>Z8+Z7+Z4+Z3</f>
        <v>23003.109999999997</v>
      </c>
      <c r="Y37" s="8">
        <f t="shared" si="12"/>
        <v>76.721224758794378</v>
      </c>
      <c r="AK37" s="1">
        <v>695</v>
      </c>
      <c r="AL37" s="1"/>
      <c r="AM37" s="1" t="s">
        <v>84</v>
      </c>
      <c r="AN37" s="1"/>
      <c r="AO37" s="1"/>
      <c r="AP37" s="1">
        <v>248.316305865967</v>
      </c>
      <c r="AQ37" s="1">
        <f t="shared" si="4"/>
        <v>668.59907215099281</v>
      </c>
      <c r="AR37" s="30">
        <v>668.6</v>
      </c>
      <c r="AT37" s="1">
        <v>613</v>
      </c>
      <c r="AU37" s="1"/>
      <c r="AV37" s="1" t="s">
        <v>88</v>
      </c>
      <c r="AW37" s="1"/>
      <c r="AX37" s="1"/>
      <c r="AY37" s="1">
        <v>1488.06149564108</v>
      </c>
      <c r="AZ37" s="1">
        <f t="shared" si="5"/>
        <v>4910.1512134855202</v>
      </c>
      <c r="BA37" s="30">
        <v>4910.1499999999996</v>
      </c>
      <c r="BB37" s="5"/>
      <c r="BD37" s="1">
        <v>788</v>
      </c>
      <c r="BE37" s="21">
        <v>65</v>
      </c>
      <c r="BF37" s="1" t="s">
        <v>89</v>
      </c>
      <c r="BG37" s="1"/>
      <c r="BH37" s="1"/>
      <c r="BI37" s="1">
        <v>110.642454018146</v>
      </c>
      <c r="BJ37" s="1">
        <f t="shared" si="6"/>
        <v>197.17422066848835</v>
      </c>
      <c r="BK37" s="30">
        <v>197.17</v>
      </c>
    </row>
    <row r="38" spans="1:63" ht="28.9" x14ac:dyDescent="0.3">
      <c r="A38" s="1">
        <v>602</v>
      </c>
      <c r="B38" s="2">
        <v>10000</v>
      </c>
      <c r="C38" s="1" t="s">
        <v>30</v>
      </c>
      <c r="D38" s="1" t="s">
        <v>16</v>
      </c>
      <c r="E38" s="1"/>
      <c r="F38" s="6">
        <v>3051.77476984748</v>
      </c>
      <c r="G38" s="8">
        <f t="shared" si="0"/>
        <v>10260.552552510138</v>
      </c>
      <c r="H38" s="13">
        <v>10000</v>
      </c>
      <c r="U38" s="41" t="s">
        <v>43</v>
      </c>
      <c r="V38" s="11">
        <f>SUM(V32:V37)</f>
        <v>7133.2398729950801</v>
      </c>
      <c r="W38" s="8">
        <f t="shared" si="11"/>
        <v>100.00000004198766</v>
      </c>
      <c r="X38" s="11">
        <f t="shared" ref="X38" si="14">SUM(X32:X37)</f>
        <v>29982.719999999998</v>
      </c>
      <c r="Y38" s="11">
        <f t="shared" ref="Y38" si="15">SUM(Y32:Y37)</f>
        <v>99.999999999999972</v>
      </c>
      <c r="AK38" s="1">
        <v>698</v>
      </c>
      <c r="AL38" s="1"/>
      <c r="AM38" s="1" t="s">
        <v>84</v>
      </c>
      <c r="AN38" s="1"/>
      <c r="AO38" s="1"/>
      <c r="AP38" s="1">
        <v>304.77210409820202</v>
      </c>
      <c r="AQ38" s="1">
        <f t="shared" si="4"/>
        <v>861.7682313824082</v>
      </c>
      <c r="AR38" s="30">
        <v>861.77</v>
      </c>
      <c r="AT38" s="1">
        <v>614</v>
      </c>
      <c r="AU38" s="1"/>
      <c r="AV38" s="1" t="s">
        <v>88</v>
      </c>
      <c r="AW38" s="1"/>
      <c r="AX38" s="1"/>
      <c r="AY38" s="1">
        <v>297.68282362151803</v>
      </c>
      <c r="AZ38" s="1">
        <f t="shared" si="5"/>
        <v>837.1515493033861</v>
      </c>
      <c r="BA38" s="30">
        <v>837.15</v>
      </c>
      <c r="BB38" s="5"/>
      <c r="BD38" s="1">
        <v>802</v>
      </c>
      <c r="BE38" s="1"/>
      <c r="BF38" s="1" t="s">
        <v>89</v>
      </c>
      <c r="BG38" s="1"/>
      <c r="BH38" s="1"/>
      <c r="BI38" s="1">
        <v>105.735220995284</v>
      </c>
      <c r="BJ38" s="1">
        <f t="shared" si="6"/>
        <v>180.38363215746372</v>
      </c>
      <c r="BK38" s="30">
        <v>180.38</v>
      </c>
    </row>
    <row r="39" spans="1:63" ht="28.9" x14ac:dyDescent="0.3">
      <c r="A39" s="1">
        <v>603</v>
      </c>
      <c r="B39" s="2">
        <v>10000</v>
      </c>
      <c r="C39" s="1" t="s">
        <v>30</v>
      </c>
      <c r="D39" s="1" t="s">
        <v>14</v>
      </c>
      <c r="E39" s="1"/>
      <c r="F39" s="6">
        <v>1975.6320590909399</v>
      </c>
      <c r="G39" s="8">
        <f t="shared" si="0"/>
        <v>6578.4226533855608</v>
      </c>
      <c r="H39" s="13">
        <v>10000</v>
      </c>
      <c r="L39" s="7" t="s">
        <v>54</v>
      </c>
      <c r="M39" s="7" t="s">
        <v>97</v>
      </c>
      <c r="N39" s="8" t="s">
        <v>96</v>
      </c>
      <c r="O39" s="8" t="s">
        <v>98</v>
      </c>
      <c r="U39" s="42"/>
      <c r="V39" s="43"/>
      <c r="W39" s="43"/>
      <c r="X39" s="43"/>
      <c r="Y39" s="43"/>
      <c r="AK39" s="1">
        <v>699</v>
      </c>
      <c r="AL39" s="1"/>
      <c r="AM39" s="1" t="s">
        <v>84</v>
      </c>
      <c r="AN39" s="1"/>
      <c r="AO39" s="1"/>
      <c r="AP39" s="1">
        <v>114.40888082538</v>
      </c>
      <c r="AQ39" s="1">
        <f t="shared" si="4"/>
        <v>210.42142663212022</v>
      </c>
      <c r="AR39" s="30">
        <v>210.42</v>
      </c>
      <c r="AT39" s="1">
        <v>615</v>
      </c>
      <c r="AU39" s="2">
        <v>1000</v>
      </c>
      <c r="AV39" s="1" t="s">
        <v>88</v>
      </c>
      <c r="AW39" s="1"/>
      <c r="AX39" s="1"/>
      <c r="AY39" s="1">
        <v>1025.11653401692</v>
      </c>
      <c r="AZ39" s="1">
        <f t="shared" si="5"/>
        <v>3326.1387327922935</v>
      </c>
      <c r="BA39" s="30">
        <v>1000</v>
      </c>
      <c r="BB39" s="5"/>
      <c r="BD39" s="1">
        <v>803</v>
      </c>
      <c r="BE39" s="2">
        <v>2000</v>
      </c>
      <c r="BF39" s="1" t="s">
        <v>89</v>
      </c>
      <c r="BG39" s="1"/>
      <c r="BH39" s="1"/>
      <c r="BI39" s="1">
        <v>772.17651570160797</v>
      </c>
      <c r="BJ39" s="1">
        <f t="shared" si="6"/>
        <v>2460.679166124622</v>
      </c>
      <c r="BK39" s="30">
        <v>2000</v>
      </c>
    </row>
    <row r="40" spans="1:63" ht="28.9" x14ac:dyDescent="0.3">
      <c r="A40" s="1">
        <v>604</v>
      </c>
      <c r="B40" s="2">
        <v>12000</v>
      </c>
      <c r="C40" s="1" t="s">
        <v>30</v>
      </c>
      <c r="D40" s="1" t="s">
        <v>16</v>
      </c>
      <c r="E40" s="1"/>
      <c r="F40" s="6">
        <v>2523.86421185871</v>
      </c>
      <c r="G40" s="8">
        <f t="shared" si="0"/>
        <v>8454.2537872957637</v>
      </c>
      <c r="H40" s="13">
        <v>12000</v>
      </c>
      <c r="K40" s="8" t="s">
        <v>17</v>
      </c>
      <c r="L40" s="8">
        <f>O35+O22+O20+O6+O5+O4+O18</f>
        <v>1543.6670865162091</v>
      </c>
      <c r="M40" s="8">
        <f>L40/O37*100</f>
        <v>4.0741483123970843</v>
      </c>
      <c r="N40" s="8">
        <f>Q35+Q22+Q20+Q6+Q5+Q4+Q18</f>
        <v>3985.0099999999998</v>
      </c>
      <c r="O40" s="8">
        <f>N40/Q37*100</f>
        <v>1.949172173736788</v>
      </c>
      <c r="U40" s="46"/>
      <c r="V40" s="5"/>
      <c r="W40" s="5"/>
      <c r="X40" s="5"/>
      <c r="Y40" s="5"/>
      <c r="AK40" s="1">
        <v>700</v>
      </c>
      <c r="AL40" s="1"/>
      <c r="AM40" s="1" t="s">
        <v>84</v>
      </c>
      <c r="AN40" s="1"/>
      <c r="AO40" s="1"/>
      <c r="AP40" s="1">
        <v>588.19452672101795</v>
      </c>
      <c r="AQ40" s="1">
        <f t="shared" si="4"/>
        <v>1831.5263926286352</v>
      </c>
      <c r="AR40" s="30">
        <v>1831.53</v>
      </c>
      <c r="AT40" s="1">
        <v>616</v>
      </c>
      <c r="AU40" s="1"/>
      <c r="AV40" s="1" t="s">
        <v>88</v>
      </c>
      <c r="AW40" s="1"/>
      <c r="AX40" s="1"/>
      <c r="AY40" s="1">
        <v>279.93580622415601</v>
      </c>
      <c r="AZ40" s="1">
        <f t="shared" si="5"/>
        <v>776.42835457657225</v>
      </c>
      <c r="BA40" s="30">
        <v>776.43</v>
      </c>
      <c r="BB40" s="5"/>
      <c r="BD40" s="1">
        <v>804</v>
      </c>
      <c r="BE40" s="1"/>
      <c r="BF40" s="1" t="s">
        <v>89</v>
      </c>
      <c r="BG40" s="1"/>
      <c r="BH40" s="1"/>
      <c r="BI40" s="1">
        <v>160.72603258679601</v>
      </c>
      <c r="BJ40" s="1">
        <f t="shared" si="6"/>
        <v>368.54019309898126</v>
      </c>
      <c r="BK40" s="30">
        <v>368.54</v>
      </c>
    </row>
    <row r="41" spans="1:63" ht="28.9" x14ac:dyDescent="0.3">
      <c r="A41" s="1">
        <v>605</v>
      </c>
      <c r="B41" s="2">
        <v>10000</v>
      </c>
      <c r="C41" s="1" t="s">
        <v>30</v>
      </c>
      <c r="D41" s="1" t="s">
        <v>16</v>
      </c>
      <c r="E41" s="1"/>
      <c r="F41" s="6">
        <v>2478.9785564035401</v>
      </c>
      <c r="G41" s="8">
        <f t="shared" si="0"/>
        <v>8300.6730285903541</v>
      </c>
      <c r="H41" s="13">
        <v>10000</v>
      </c>
      <c r="K41" s="8" t="s">
        <v>14</v>
      </c>
      <c r="L41" s="8">
        <f>O33+O25+O24+O17+O23+O16+O10+O9</f>
        <v>2241.1745786159818</v>
      </c>
      <c r="M41" s="8">
        <f>L41/O37*100</f>
        <v>5.9150562365505674</v>
      </c>
      <c r="N41" s="8">
        <f>Q33+Q25+Q24+Q17+Q23+Q16+Q10+Q9</f>
        <v>6618.07</v>
      </c>
      <c r="O41" s="8">
        <f>N41/Q37*100</f>
        <v>3.2370703932592955</v>
      </c>
      <c r="AK41" s="1">
        <v>701</v>
      </c>
      <c r="AL41" s="1"/>
      <c r="AM41" s="1" t="s">
        <v>84</v>
      </c>
      <c r="AN41" s="1"/>
      <c r="AO41" s="1"/>
      <c r="AP41" s="1">
        <v>147.487853103666</v>
      </c>
      <c r="AQ41" s="1">
        <f t="shared" si="4"/>
        <v>323.60443817950363</v>
      </c>
      <c r="AR41" s="30">
        <v>323.60000000000002</v>
      </c>
      <c r="AT41" s="1">
        <v>617</v>
      </c>
      <c r="AU41" s="2">
        <v>1300</v>
      </c>
      <c r="AV41" s="1" t="s">
        <v>88</v>
      </c>
      <c r="AW41" s="1"/>
      <c r="AX41" s="1"/>
      <c r="AY41" s="1">
        <v>367.65552816486701</v>
      </c>
      <c r="AZ41" s="1">
        <f t="shared" si="5"/>
        <v>1076.570155168909</v>
      </c>
      <c r="BA41" s="30">
        <v>1300</v>
      </c>
      <c r="BB41" s="5"/>
      <c r="BD41" s="1">
        <v>806</v>
      </c>
      <c r="BE41" s="1"/>
      <c r="BF41" s="1" t="s">
        <v>89</v>
      </c>
      <c r="BG41" s="1"/>
      <c r="BH41" s="1"/>
      <c r="BI41" s="1">
        <v>283.573106566967</v>
      </c>
      <c r="BJ41" s="1">
        <f t="shared" si="6"/>
        <v>788.87374142953433</v>
      </c>
      <c r="BK41" s="30">
        <v>788.87</v>
      </c>
    </row>
    <row r="42" spans="1:63" ht="28.9" x14ac:dyDescent="0.35">
      <c r="A42" s="1">
        <v>606</v>
      </c>
      <c r="B42" s="2">
        <v>15000</v>
      </c>
      <c r="C42" s="1" t="s">
        <v>30</v>
      </c>
      <c r="D42" s="1" t="s">
        <v>16</v>
      </c>
      <c r="E42" s="1"/>
      <c r="F42" s="6">
        <v>3725.4765667726801</v>
      </c>
      <c r="G42" s="8">
        <f t="shared" si="0"/>
        <v>12565.690620869404</v>
      </c>
      <c r="H42" s="13">
        <v>15000</v>
      </c>
      <c r="K42" s="8" t="s">
        <v>12</v>
      </c>
      <c r="L42" s="8">
        <f>O21+O13</f>
        <v>1069.388599077615</v>
      </c>
      <c r="M42" s="8">
        <f>L42/O37*100</f>
        <v>2.8224011474270676</v>
      </c>
      <c r="N42" s="8">
        <f>Q21+Q13</f>
        <v>3296.22</v>
      </c>
      <c r="O42" s="8">
        <f>N42/Q37*100</f>
        <v>1.6122670463849964</v>
      </c>
      <c r="U42" s="45" t="s">
        <v>83</v>
      </c>
      <c r="V42" s="7" t="s">
        <v>54</v>
      </c>
      <c r="W42" s="7" t="s">
        <v>97</v>
      </c>
      <c r="X42" s="8" t="s">
        <v>96</v>
      </c>
      <c r="Y42" s="8" t="s">
        <v>98</v>
      </c>
      <c r="AK42" s="1">
        <v>702</v>
      </c>
      <c r="AL42" s="2">
        <v>15000</v>
      </c>
      <c r="AM42" s="1" t="s">
        <v>84</v>
      </c>
      <c r="AN42" s="1"/>
      <c r="AO42" s="1"/>
      <c r="AP42" s="1">
        <v>4528.1285744378001</v>
      </c>
      <c r="AQ42" s="1">
        <f t="shared" si="4"/>
        <v>15312.404730296377</v>
      </c>
      <c r="AR42" s="30">
        <v>15000</v>
      </c>
      <c r="AT42" s="1">
        <v>618</v>
      </c>
      <c r="AU42" s="2">
        <v>16000</v>
      </c>
      <c r="AV42" s="1" t="s">
        <v>88</v>
      </c>
      <c r="AW42" s="1"/>
      <c r="AX42" s="1"/>
      <c r="AY42" s="1">
        <v>4878.4359492461099</v>
      </c>
      <c r="AZ42" s="1">
        <f t="shared" si="5"/>
        <v>16510.65644394049</v>
      </c>
      <c r="BA42" s="30">
        <v>16000</v>
      </c>
      <c r="BB42" s="5"/>
      <c r="BD42" s="1">
        <v>807</v>
      </c>
      <c r="BE42" s="1"/>
      <c r="BF42" s="1" t="s">
        <v>89</v>
      </c>
      <c r="BG42" s="1"/>
      <c r="BH42" s="1"/>
      <c r="BI42" s="1">
        <v>390.61626508842897</v>
      </c>
      <c r="BJ42" s="1">
        <f t="shared" si="6"/>
        <v>1155.1326126265685</v>
      </c>
      <c r="BK42" s="30">
        <v>1155.1300000000001</v>
      </c>
    </row>
    <row r="43" spans="1:63" ht="28.9" x14ac:dyDescent="0.3">
      <c r="A43" s="1">
        <v>607</v>
      </c>
      <c r="B43" s="1"/>
      <c r="C43" s="1" t="s">
        <v>30</v>
      </c>
      <c r="D43" s="1" t="s">
        <v>17</v>
      </c>
      <c r="E43" s="1"/>
      <c r="F43" s="6">
        <v>426.42653779864003</v>
      </c>
      <c r="G43" s="8">
        <f t="shared" si="0"/>
        <v>1277.6610417318268</v>
      </c>
      <c r="H43" s="13">
        <v>1277.6600000000001</v>
      </c>
      <c r="K43" s="8" t="s">
        <v>99</v>
      </c>
      <c r="L43" s="8">
        <f>O36+O32+O31+O30+O29+O28+O27+O26+O15+O14+O12+O11+O8+O3</f>
        <v>8852.4953696166049</v>
      </c>
      <c r="M43" s="8">
        <f>L43/O37*100</f>
        <v>23.364091510185723</v>
      </c>
      <c r="N43" s="8">
        <f>Q36+Q32+Q31+Q30+Q29+Q28+Q27+Q26+Q15+Q14+Q12+Q11+Q8+Q3</f>
        <v>28440.13</v>
      </c>
      <c r="O43" s="8">
        <f>N43/Q37*100</f>
        <v>13.910808257308474</v>
      </c>
      <c r="U43" s="8" t="s">
        <v>17</v>
      </c>
      <c r="V43" s="8" t="e">
        <f>Y38+Y25+Y23+#REF!+#REF!+#REF!+Y21</f>
        <v>#REF!</v>
      </c>
      <c r="W43" s="8" t="e">
        <f>V43/Y40*100</f>
        <v>#REF!</v>
      </c>
      <c r="X43" s="8" t="e">
        <f>AA38+AA25+AA23+#REF!+#REF!+#REF!+AA21</f>
        <v>#REF!</v>
      </c>
      <c r="Y43" s="8" t="e">
        <f>X43/AA40*100</f>
        <v>#REF!</v>
      </c>
      <c r="AK43" s="1">
        <v>704</v>
      </c>
      <c r="AL43" s="1"/>
      <c r="AM43" s="1" t="s">
        <v>84</v>
      </c>
      <c r="AN43" s="1"/>
      <c r="AO43" s="1"/>
      <c r="AP43" s="1">
        <v>964.916261176577</v>
      </c>
      <c r="AQ43" s="1">
        <f t="shared" si="4"/>
        <v>3120.5174792417761</v>
      </c>
      <c r="AR43" s="30">
        <v>3120.52</v>
      </c>
      <c r="AT43" s="1">
        <v>619</v>
      </c>
      <c r="AU43" s="2">
        <v>15000</v>
      </c>
      <c r="AV43" s="1" t="s">
        <v>88</v>
      </c>
      <c r="AW43" s="1"/>
      <c r="AX43" s="1"/>
      <c r="AY43" s="1">
        <v>3540.6414948670199</v>
      </c>
      <c r="AZ43" s="1">
        <f t="shared" si="5"/>
        <v>11933.258938836996</v>
      </c>
      <c r="BA43" s="30">
        <v>15000</v>
      </c>
      <c r="BB43" s="5"/>
      <c r="BD43" s="1">
        <v>813</v>
      </c>
      <c r="BE43" s="1"/>
      <c r="BF43" s="1" t="s">
        <v>89</v>
      </c>
      <c r="BG43" s="1"/>
      <c r="BH43" s="1"/>
      <c r="BI43" s="1">
        <v>142.437256685525</v>
      </c>
      <c r="BJ43" s="1">
        <f t="shared" si="6"/>
        <v>305.96331747519241</v>
      </c>
      <c r="BK43" s="30">
        <v>305.95999999999998</v>
      </c>
    </row>
    <row r="44" spans="1:63" ht="28.9" x14ac:dyDescent="0.3">
      <c r="A44" s="1">
        <v>608</v>
      </c>
      <c r="B44" s="1"/>
      <c r="C44" s="1" t="s">
        <v>30</v>
      </c>
      <c r="D44" s="1" t="s">
        <v>16</v>
      </c>
      <c r="E44" s="1"/>
      <c r="F44" s="6">
        <v>1059.97031945698</v>
      </c>
      <c r="G44" s="8">
        <f t="shared" si="0"/>
        <v>3445.3944450540025</v>
      </c>
      <c r="H44" s="13">
        <v>3445.39</v>
      </c>
      <c r="K44" s="20" t="s">
        <v>100</v>
      </c>
      <c r="L44" s="8">
        <f>O19</f>
        <v>24014.351257070801</v>
      </c>
      <c r="M44" s="8">
        <f>L44/O37*100</f>
        <v>63.380264761691194</v>
      </c>
      <c r="N44" s="8">
        <f>Q19</f>
        <v>160000</v>
      </c>
      <c r="O44" s="8">
        <f>N44/Q37*100</f>
        <v>78.260166925023043</v>
      </c>
      <c r="U44" s="8" t="s">
        <v>14</v>
      </c>
      <c r="V44" s="8">
        <f>Y36+Y28+Y27+Y20+Y26+Y19+Y13+Y12</f>
        <v>5294.0411251793457</v>
      </c>
      <c r="W44" s="8" t="e">
        <f>V44/Y40*100</f>
        <v>#DIV/0!</v>
      </c>
      <c r="X44" s="8">
        <f>AA36+AA28+AA27+AA20+AA26+AA19+AA13+AA12</f>
        <v>0</v>
      </c>
      <c r="Y44" s="8" t="e">
        <f>X44/AA40*100</f>
        <v>#DIV/0!</v>
      </c>
      <c r="AK44" s="1">
        <v>705</v>
      </c>
      <c r="AL44" s="1"/>
      <c r="AM44" s="1" t="s">
        <v>84</v>
      </c>
      <c r="AN44" s="1"/>
      <c r="AO44" s="1"/>
      <c r="AP44" s="1">
        <v>734.52134176253196</v>
      </c>
      <c r="AQ44" s="1">
        <f t="shared" si="4"/>
        <v>2332.1982229746795</v>
      </c>
      <c r="AR44" s="30">
        <v>2332.1999999999998</v>
      </c>
      <c r="AT44" s="1">
        <v>620</v>
      </c>
      <c r="AU44" s="1"/>
      <c r="AV44" s="1" t="s">
        <v>88</v>
      </c>
      <c r="AW44" s="1"/>
      <c r="AX44" s="1"/>
      <c r="AY44" s="1">
        <v>643.97957937450099</v>
      </c>
      <c r="AZ44" s="1">
        <f t="shared" si="5"/>
        <v>2022.0405287877925</v>
      </c>
      <c r="BA44" s="30">
        <v>2022.04</v>
      </c>
      <c r="BB44" s="5"/>
      <c r="BD44" s="1">
        <v>814</v>
      </c>
      <c r="BE44" s="2">
        <v>10500</v>
      </c>
      <c r="BF44" s="1" t="s">
        <v>89</v>
      </c>
      <c r="BG44" s="1"/>
      <c r="BH44" s="1"/>
      <c r="BI44" s="1">
        <v>2648.0646754782301</v>
      </c>
      <c r="BJ44" s="1">
        <f t="shared" si="6"/>
        <v>8879.2180936163131</v>
      </c>
      <c r="BK44" s="30">
        <v>10500</v>
      </c>
    </row>
    <row r="45" spans="1:63" ht="28.9" x14ac:dyDescent="0.3">
      <c r="A45" s="1">
        <v>609</v>
      </c>
      <c r="B45" s="22">
        <v>5000</v>
      </c>
      <c r="C45" s="1" t="s">
        <v>30</v>
      </c>
      <c r="D45" s="1" t="s">
        <v>12</v>
      </c>
      <c r="E45" s="1"/>
      <c r="F45" s="6">
        <v>4266.1669756011497</v>
      </c>
      <c r="G45" s="8">
        <f t="shared" si="0"/>
        <v>14415.716923716895</v>
      </c>
      <c r="H45" s="13">
        <v>14415.72</v>
      </c>
      <c r="K45" s="20" t="s">
        <v>28</v>
      </c>
      <c r="L45" s="8">
        <f>O7+O34</f>
        <v>168.24299024305651</v>
      </c>
      <c r="M45" s="8">
        <f>L45/O37*100</f>
        <v>0.4440380317483632</v>
      </c>
      <c r="N45" s="8">
        <f>Q7+Q34</f>
        <v>2106.85</v>
      </c>
      <c r="O45" s="8">
        <f>N45/Q37*100</f>
        <v>1.0305152042874051</v>
      </c>
      <c r="U45" s="8" t="s">
        <v>12</v>
      </c>
      <c r="V45" s="8">
        <f>Y24+Y16</f>
        <v>2243.0418473090622</v>
      </c>
      <c r="W45" s="8" t="e">
        <f>V45/Y40*100</f>
        <v>#DIV/0!</v>
      </c>
      <c r="X45" s="8">
        <f>AA24+AA16</f>
        <v>0</v>
      </c>
      <c r="Y45" s="8" t="e">
        <f>X45/AA40*100</f>
        <v>#DIV/0!</v>
      </c>
      <c r="AK45" s="1">
        <v>706</v>
      </c>
      <c r="AL45" s="1"/>
      <c r="AM45" s="1" t="s">
        <v>84</v>
      </c>
      <c r="AN45" s="1"/>
      <c r="AO45" s="1"/>
      <c r="AP45" s="1">
        <v>541.821841336435</v>
      </c>
      <c r="AQ45" s="1">
        <f t="shared" si="4"/>
        <v>1672.8576123167461</v>
      </c>
      <c r="AR45" s="30">
        <v>1672.86</v>
      </c>
      <c r="AT45" s="1">
        <v>621</v>
      </c>
      <c r="AU45" s="1"/>
      <c r="AV45" s="1" t="s">
        <v>88</v>
      </c>
      <c r="AW45" s="1"/>
      <c r="AX45" s="1"/>
      <c r="AY45" s="1">
        <v>163.57354348681099</v>
      </c>
      <c r="AZ45" s="1">
        <f t="shared" si="5"/>
        <v>378.28323639447251</v>
      </c>
      <c r="BA45" s="30">
        <v>378.28</v>
      </c>
      <c r="BB45" s="5"/>
      <c r="BD45" s="1">
        <v>815</v>
      </c>
      <c r="BE45" s="1"/>
      <c r="BF45" s="1" t="s">
        <v>89</v>
      </c>
      <c r="BG45" s="1"/>
      <c r="BH45" s="1"/>
      <c r="BI45" s="1">
        <v>149.48997042909801</v>
      </c>
      <c r="BJ45" s="1">
        <f t="shared" si="6"/>
        <v>330.09488282020175</v>
      </c>
      <c r="BK45" s="30">
        <v>330.09</v>
      </c>
    </row>
    <row r="46" spans="1:63" ht="28.9" x14ac:dyDescent="0.3">
      <c r="A46" s="1">
        <v>610</v>
      </c>
      <c r="B46" s="2">
        <v>4000</v>
      </c>
      <c r="C46" s="1" t="s">
        <v>30</v>
      </c>
      <c r="D46" s="1" t="s">
        <v>10</v>
      </c>
      <c r="E46" s="1"/>
      <c r="F46" s="6">
        <v>870.906739682433</v>
      </c>
      <c r="G46" s="8">
        <f t="shared" si="0"/>
        <v>2798.4945004974129</v>
      </c>
      <c r="H46" s="13">
        <v>4000</v>
      </c>
      <c r="K46" s="20" t="s">
        <v>43</v>
      </c>
      <c r="L46" s="8">
        <f>SUM(L40:L45)</f>
        <v>37889.319881140269</v>
      </c>
      <c r="M46" s="8">
        <f t="shared" ref="M46:O46" si="16">SUM(M40:M45)</f>
        <v>100</v>
      </c>
      <c r="N46" s="8">
        <f t="shared" si="16"/>
        <v>204446.28</v>
      </c>
      <c r="O46" s="8">
        <f t="shared" si="16"/>
        <v>100</v>
      </c>
      <c r="U46" s="8" t="s">
        <v>99</v>
      </c>
      <c r="V46" s="8" t="e">
        <f>Y39+Y35+Y34+Y33+Y32+Y31+Y30+Y29+Y18+Y17+Y15+Y14+Y11+#REF!</f>
        <v>#VALUE!</v>
      </c>
      <c r="W46" s="8" t="e">
        <f>V46/Y40*100</f>
        <v>#VALUE!</v>
      </c>
      <c r="X46" s="8" t="e">
        <f>AA39+AA35+AA34+AA33+AA32+AA31+AA30+AA29+AA18+AA17+AA15+AA14+AA11+#REF!</f>
        <v>#REF!</v>
      </c>
      <c r="Y46" s="8" t="e">
        <f>X46/AA40*100</f>
        <v>#REF!</v>
      </c>
      <c r="AK46" s="1">
        <v>707</v>
      </c>
      <c r="AL46" s="1"/>
      <c r="AM46" s="1" t="s">
        <v>84</v>
      </c>
      <c r="AN46" s="1"/>
      <c r="AO46" s="1"/>
      <c r="AP46" s="1">
        <v>553.32287417993098</v>
      </c>
      <c r="AQ46" s="1">
        <f t="shared" si="4"/>
        <v>1712.209546294052</v>
      </c>
      <c r="AR46" s="30">
        <v>1712.21</v>
      </c>
      <c r="AT46" s="1">
        <v>622</v>
      </c>
      <c r="AU46" s="1"/>
      <c r="AV46" s="1" t="s">
        <v>88</v>
      </c>
      <c r="AW46" s="1"/>
      <c r="AX46" s="1"/>
      <c r="AY46" s="1">
        <v>348.13899483307603</v>
      </c>
      <c r="AZ46" s="1">
        <f t="shared" si="5"/>
        <v>1009.792384720853</v>
      </c>
      <c r="BA46" s="30">
        <v>1009.79</v>
      </c>
      <c r="BB46" s="5"/>
      <c r="BD46" s="1">
        <v>840</v>
      </c>
      <c r="BE46" s="1"/>
      <c r="BF46" s="1" t="s">
        <v>89</v>
      </c>
      <c r="BG46" s="1"/>
      <c r="BH46" s="1"/>
      <c r="BI46" s="1">
        <v>134.131884325486</v>
      </c>
      <c r="BJ46" s="1">
        <f t="shared" si="6"/>
        <v>277.54565540808289</v>
      </c>
      <c r="BK46" s="30">
        <v>277.55</v>
      </c>
    </row>
    <row r="47" spans="1:63" ht="28.9" x14ac:dyDescent="0.3">
      <c r="A47" s="1">
        <v>611</v>
      </c>
      <c r="B47" s="2">
        <v>8000</v>
      </c>
      <c r="C47" s="1" t="s">
        <v>30</v>
      </c>
      <c r="D47" s="1" t="s">
        <v>16</v>
      </c>
      <c r="E47" s="1"/>
      <c r="F47" s="6">
        <v>2414.2200924417102</v>
      </c>
      <c r="G47" s="8">
        <f t="shared" si="0"/>
        <v>8079.0954682985557</v>
      </c>
      <c r="H47" s="13">
        <v>8000</v>
      </c>
      <c r="U47" s="20" t="s">
        <v>100</v>
      </c>
      <c r="V47" s="8">
        <f>Y22</f>
        <v>-12.313103829824513</v>
      </c>
      <c r="W47" s="8" t="e">
        <f>V47/Y40*100</f>
        <v>#DIV/0!</v>
      </c>
      <c r="X47" s="8">
        <f>AA22</f>
        <v>0</v>
      </c>
      <c r="Y47" s="8" t="e">
        <f>X47/AA40*100</f>
        <v>#DIV/0!</v>
      </c>
      <c r="AK47" s="1">
        <v>709</v>
      </c>
      <c r="AL47" s="22">
        <v>2500</v>
      </c>
      <c r="AM47" s="1" t="s">
        <v>84</v>
      </c>
      <c r="AN47" s="1"/>
      <c r="AO47" s="1"/>
      <c r="AP47" s="1">
        <v>394.949516336621</v>
      </c>
      <c r="AQ47" s="1">
        <f t="shared" si="4"/>
        <v>1170.3192650973826</v>
      </c>
      <c r="AR47" s="30">
        <v>1170.32</v>
      </c>
      <c r="AT47" s="1">
        <v>623</v>
      </c>
      <c r="AU47" s="1"/>
      <c r="AV47" s="1" t="s">
        <v>88</v>
      </c>
      <c r="AW47" s="1"/>
      <c r="AX47" s="1"/>
      <c r="AY47" s="1">
        <v>332.19902739332099</v>
      </c>
      <c r="AZ47" s="1">
        <f t="shared" si="5"/>
        <v>955.25219212898708</v>
      </c>
      <c r="BA47" s="30">
        <v>955.25</v>
      </c>
      <c r="BB47" s="5"/>
      <c r="BD47" s="1">
        <v>841</v>
      </c>
      <c r="BE47" s="21">
        <v>300</v>
      </c>
      <c r="BF47" s="1" t="s">
        <v>89</v>
      </c>
      <c r="BG47" s="1"/>
      <c r="BH47" s="1"/>
      <c r="BI47" s="1">
        <v>333.98770000393898</v>
      </c>
      <c r="BJ47" s="1">
        <f t="shared" si="6"/>
        <v>961.37231433347768</v>
      </c>
      <c r="BK47" s="30">
        <v>961.37</v>
      </c>
    </row>
    <row r="48" spans="1:63" ht="28.9" x14ac:dyDescent="0.3">
      <c r="A48" s="10">
        <v>612</v>
      </c>
      <c r="B48" s="49">
        <v>18000</v>
      </c>
      <c r="C48" s="10" t="s">
        <v>30</v>
      </c>
      <c r="D48" s="10" t="s">
        <v>16</v>
      </c>
      <c r="E48" s="10"/>
      <c r="F48" s="16">
        <v>5480.0987383478896</v>
      </c>
      <c r="G48" s="11">
        <f t="shared" si="0"/>
        <v>18569.30584313114</v>
      </c>
      <c r="H48" s="15">
        <v>18000</v>
      </c>
      <c r="U48" s="20" t="s">
        <v>28</v>
      </c>
      <c r="V48" s="8">
        <f>Y10+Y37</f>
        <v>23214.014774198764</v>
      </c>
      <c r="W48" s="8" t="e">
        <f>V48/Y40*100</f>
        <v>#DIV/0!</v>
      </c>
      <c r="X48" s="8">
        <f>AA10+AA37</f>
        <v>0</v>
      </c>
      <c r="Y48" s="8" t="e">
        <f>X48/AA40*100</f>
        <v>#DIV/0!</v>
      </c>
      <c r="AK48" s="1">
        <v>710</v>
      </c>
      <c r="AL48" s="1"/>
      <c r="AM48" s="1" t="s">
        <v>84</v>
      </c>
      <c r="AN48" s="1"/>
      <c r="AO48" s="1"/>
      <c r="AP48" s="1">
        <v>308.00082765593601</v>
      </c>
      <c r="AQ48" s="1">
        <f t="shared" si="4"/>
        <v>872.81563190755082</v>
      </c>
      <c r="AR48" s="30">
        <v>872.82</v>
      </c>
      <c r="AT48" s="1">
        <v>624</v>
      </c>
      <c r="AU48" s="22">
        <v>5000</v>
      </c>
      <c r="AV48" s="1" t="s">
        <v>88</v>
      </c>
      <c r="AW48" s="1"/>
      <c r="AX48" s="1"/>
      <c r="AY48" s="1">
        <v>855.55353861460401</v>
      </c>
      <c r="AZ48" s="1">
        <f t="shared" si="5"/>
        <v>2745.9619877237292</v>
      </c>
      <c r="BA48" s="30">
        <v>2745.96</v>
      </c>
      <c r="BB48" s="5"/>
      <c r="BD48" s="1">
        <v>842</v>
      </c>
      <c r="BE48" s="21">
        <v>320</v>
      </c>
      <c r="BF48" s="1" t="s">
        <v>89</v>
      </c>
      <c r="BG48" s="1"/>
      <c r="BH48" s="1"/>
      <c r="BI48" s="1">
        <v>236.41709679974699</v>
      </c>
      <c r="BJ48" s="1">
        <f t="shared" si="6"/>
        <v>627.52473841001438</v>
      </c>
      <c r="BK48" s="30">
        <v>627.52</v>
      </c>
    </row>
    <row r="49" spans="1:63" ht="28.9" x14ac:dyDescent="0.3">
      <c r="A49" s="7">
        <v>1038</v>
      </c>
      <c r="B49" s="8"/>
      <c r="C49" s="26" t="s">
        <v>30</v>
      </c>
      <c r="D49" s="7" t="s">
        <v>14</v>
      </c>
      <c r="E49" s="8"/>
      <c r="F49" s="8">
        <v>159.90484000000001</v>
      </c>
      <c r="G49" s="8">
        <f t="shared" si="0"/>
        <v>365.73040054400008</v>
      </c>
      <c r="H49" s="13">
        <v>366</v>
      </c>
      <c r="U49" s="20" t="s">
        <v>43</v>
      </c>
      <c r="V49" s="8" t="e">
        <f>SUM(V43:V48)</f>
        <v>#REF!</v>
      </c>
      <c r="W49" s="8" t="e">
        <f t="shared" ref="W49" si="17">SUM(W43:W48)</f>
        <v>#REF!</v>
      </c>
      <c r="X49" s="8" t="e">
        <f t="shared" ref="X49" si="18">SUM(X43:X48)</f>
        <v>#REF!</v>
      </c>
      <c r="Y49" s="8" t="e">
        <f t="shared" ref="Y49" si="19">SUM(Y43:Y48)</f>
        <v>#REF!</v>
      </c>
      <c r="AK49" s="1">
        <v>711</v>
      </c>
      <c r="AL49" s="1"/>
      <c r="AM49" s="1" t="s">
        <v>84</v>
      </c>
      <c r="AN49" s="1"/>
      <c r="AO49" s="1"/>
      <c r="AP49" s="1">
        <v>370.91808889574202</v>
      </c>
      <c r="AQ49" s="1">
        <f t="shared" si="4"/>
        <v>1088.0933329656709</v>
      </c>
      <c r="AR49" s="30">
        <v>1088.0899999999999</v>
      </c>
      <c r="AT49" s="1">
        <v>625</v>
      </c>
      <c r="AU49" s="22">
        <v>4000</v>
      </c>
      <c r="AV49" s="1" t="s">
        <v>88</v>
      </c>
      <c r="AW49" s="1"/>
      <c r="AX49" s="1"/>
      <c r="AY49" s="1">
        <v>338.67754606817999</v>
      </c>
      <c r="AZ49" s="1">
        <f t="shared" si="5"/>
        <v>977.41909162688478</v>
      </c>
      <c r="BA49" s="30">
        <v>977.42</v>
      </c>
      <c r="BB49" s="5"/>
      <c r="BD49" s="1">
        <v>843</v>
      </c>
      <c r="BE49" s="1"/>
      <c r="BF49" s="1" t="s">
        <v>89</v>
      </c>
      <c r="BG49" s="1"/>
      <c r="BH49" s="1"/>
      <c r="BI49" s="1">
        <v>213.38737778894699</v>
      </c>
      <c r="BJ49" s="1">
        <f t="shared" si="6"/>
        <v>548.7262518426611</v>
      </c>
      <c r="BK49" s="30">
        <v>548.72</v>
      </c>
    </row>
    <row r="50" spans="1:63" ht="28.9" x14ac:dyDescent="0.3">
      <c r="A50" s="7">
        <v>1039</v>
      </c>
      <c r="B50" s="8"/>
      <c r="C50" s="26" t="s">
        <v>30</v>
      </c>
      <c r="D50" s="7" t="s">
        <v>14</v>
      </c>
      <c r="E50" s="8"/>
      <c r="F50" s="8">
        <v>502.00384000000003</v>
      </c>
      <c r="G50" s="8">
        <f t="shared" si="0"/>
        <v>1536.2563389440002</v>
      </c>
      <c r="H50" s="13">
        <v>1536</v>
      </c>
      <c r="AK50" s="1">
        <v>712</v>
      </c>
      <c r="AL50" s="22">
        <v>2000</v>
      </c>
      <c r="AM50" s="1" t="s">
        <v>84</v>
      </c>
      <c r="AN50" s="1"/>
      <c r="AO50" s="1"/>
      <c r="AP50" s="1">
        <v>1103.9211213195299</v>
      </c>
      <c r="AQ50" s="1">
        <f t="shared" si="4"/>
        <v>3596.1365087069039</v>
      </c>
      <c r="AR50" s="30">
        <v>3596.14</v>
      </c>
      <c r="AT50" s="1">
        <v>626</v>
      </c>
      <c r="AU50" s="1"/>
      <c r="AV50" s="1" t="s">
        <v>88</v>
      </c>
      <c r="AW50" s="1"/>
      <c r="AX50" s="1"/>
      <c r="AY50" s="1">
        <v>385.03090388577101</v>
      </c>
      <c r="AZ50" s="1">
        <f t="shared" si="5"/>
        <v>1136.021740735554</v>
      </c>
      <c r="BA50" s="30">
        <v>1136.02</v>
      </c>
      <c r="BB50" s="5"/>
      <c r="BD50" s="1">
        <v>907</v>
      </c>
      <c r="BE50" s="1"/>
      <c r="BF50" s="1" t="s">
        <v>89</v>
      </c>
      <c r="BG50" s="1"/>
      <c r="BH50" s="1"/>
      <c r="BI50" s="1">
        <v>108.450104889588</v>
      </c>
      <c r="BJ50" s="1">
        <f t="shared" si="6"/>
        <v>189.67287889021432</v>
      </c>
      <c r="BK50" s="30">
        <v>189.67</v>
      </c>
    </row>
    <row r="51" spans="1:63" ht="28.9" x14ac:dyDescent="0.3">
      <c r="C51" s="3"/>
      <c r="F51" s="8">
        <f>SUM(F3:F50)</f>
        <v>108627.95861829419</v>
      </c>
      <c r="G51" s="8">
        <f t="shared" ref="G51:H51" si="20">SUM(G3:G50)</f>
        <v>362974.22320835525</v>
      </c>
      <c r="H51" s="8">
        <f t="shared" si="20"/>
        <v>410205.26999999996</v>
      </c>
      <c r="AK51" s="1">
        <v>713</v>
      </c>
      <c r="AL51" s="1"/>
      <c r="AM51" s="1" t="s">
        <v>84</v>
      </c>
      <c r="AN51" s="1"/>
      <c r="AO51" s="1"/>
      <c r="AP51" s="1">
        <v>242.03632459198801</v>
      </c>
      <c r="AQ51" s="1">
        <f t="shared" si="4"/>
        <v>647.11148822394625</v>
      </c>
      <c r="AR51" s="30">
        <v>647.11</v>
      </c>
      <c r="AT51" s="1">
        <v>627</v>
      </c>
      <c r="AU51" s="2">
        <v>1500</v>
      </c>
      <c r="AV51" s="1" t="s">
        <v>88</v>
      </c>
      <c r="AW51" s="1"/>
      <c r="AX51" s="1"/>
      <c r="AY51" s="1">
        <v>641.15258189670305</v>
      </c>
      <c r="AZ51" s="1">
        <f t="shared" si="5"/>
        <v>2012.367674217759</v>
      </c>
      <c r="BA51" s="30">
        <v>1500</v>
      </c>
      <c r="BB51" s="5"/>
      <c r="BD51" s="1">
        <v>920</v>
      </c>
      <c r="BE51" s="1"/>
      <c r="BF51" s="1" t="s">
        <v>89</v>
      </c>
      <c r="BG51" s="1"/>
      <c r="BH51" s="1"/>
      <c r="BI51" s="1">
        <v>84.869099108582404</v>
      </c>
      <c r="BJ51" s="1">
        <f t="shared" si="6"/>
        <v>108.98810950992558</v>
      </c>
      <c r="BK51" s="30">
        <v>108.99</v>
      </c>
    </row>
    <row r="52" spans="1:63" ht="28.9" x14ac:dyDescent="0.3">
      <c r="C52" s="3"/>
      <c r="F52" s="5"/>
      <c r="G52" s="5"/>
      <c r="H52" s="46"/>
      <c r="AK52" s="1">
        <v>714</v>
      </c>
      <c r="AL52" s="2">
        <v>10000</v>
      </c>
      <c r="AM52" s="1" t="s">
        <v>84</v>
      </c>
      <c r="AN52" s="1"/>
      <c r="AO52" s="1"/>
      <c r="AP52" s="1">
        <v>2344.3854703514799</v>
      </c>
      <c r="AQ52" s="1">
        <f t="shared" si="4"/>
        <v>7840.5093253546238</v>
      </c>
      <c r="AR52" s="30">
        <v>10000</v>
      </c>
      <c r="AT52" s="1">
        <v>628</v>
      </c>
      <c r="AU52" s="22">
        <v>12000</v>
      </c>
      <c r="AV52" s="1" t="s">
        <v>88</v>
      </c>
      <c r="AW52" s="1"/>
      <c r="AX52" s="1"/>
      <c r="AY52" s="1">
        <v>642.57791091943295</v>
      </c>
      <c r="AZ52" s="1">
        <f t="shared" si="5"/>
        <v>2017.2445800019318</v>
      </c>
      <c r="BA52" s="30">
        <v>2017.25</v>
      </c>
      <c r="BB52" s="5"/>
      <c r="BD52" s="10">
        <v>921</v>
      </c>
      <c r="BE52" s="1">
        <v>1200</v>
      </c>
      <c r="BF52" s="1" t="s">
        <v>89</v>
      </c>
      <c r="BG52" s="1"/>
      <c r="BH52" s="1"/>
      <c r="BI52" s="1">
        <v>624.80500383645199</v>
      </c>
      <c r="BJ52" s="1">
        <f t="shared" si="6"/>
        <v>1956.432801126804</v>
      </c>
      <c r="BK52" s="30">
        <v>1200</v>
      </c>
    </row>
    <row r="53" spans="1:63" ht="28.9" x14ac:dyDescent="0.3">
      <c r="C53" s="5"/>
      <c r="F53" s="5"/>
      <c r="G53" s="5"/>
      <c r="H53" s="46"/>
      <c r="AK53" s="1">
        <v>715</v>
      </c>
      <c r="AL53" s="1">
        <v>624</v>
      </c>
      <c r="AM53" s="1" t="s">
        <v>84</v>
      </c>
      <c r="AN53" s="1"/>
      <c r="AO53" s="1"/>
      <c r="AP53" s="1">
        <v>220.30016871568401</v>
      </c>
      <c r="AQ53" s="1">
        <f t="shared" si="4"/>
        <v>572.73905727758449</v>
      </c>
      <c r="AR53" s="30">
        <v>624</v>
      </c>
      <c r="AT53" s="1">
        <v>629</v>
      </c>
      <c r="AU53" s="22">
        <v>4500</v>
      </c>
      <c r="AV53" s="1" t="s">
        <v>88</v>
      </c>
      <c r="AW53" s="1"/>
      <c r="AX53" s="1"/>
      <c r="AY53" s="1">
        <v>1053.1297192290899</v>
      </c>
      <c r="AZ53" s="1">
        <f t="shared" si="5"/>
        <v>3421.9886473142542</v>
      </c>
      <c r="BA53" s="30">
        <v>3421.99</v>
      </c>
      <c r="BB53" s="5"/>
      <c r="BD53" s="26">
        <v>922</v>
      </c>
      <c r="BE53" s="38"/>
      <c r="BF53" s="1" t="s">
        <v>89</v>
      </c>
      <c r="BG53" s="1"/>
      <c r="BH53" s="1"/>
      <c r="BI53" s="10">
        <v>116.194467196384</v>
      </c>
      <c r="BJ53" s="10">
        <f t="shared" si="6"/>
        <v>216.17098895914748</v>
      </c>
      <c r="BK53" s="32">
        <v>216.17</v>
      </c>
    </row>
    <row r="54" spans="1:63" ht="28.9" x14ac:dyDescent="0.3">
      <c r="C54" s="7" t="s">
        <v>54</v>
      </c>
      <c r="D54" s="7" t="s">
        <v>97</v>
      </c>
      <c r="E54" s="8" t="s">
        <v>96</v>
      </c>
      <c r="F54" s="8" t="s">
        <v>98</v>
      </c>
      <c r="G54" s="5"/>
      <c r="H54" s="46"/>
      <c r="AK54" s="1">
        <v>716</v>
      </c>
      <c r="AL54" s="1"/>
      <c r="AM54" s="1" t="s">
        <v>84</v>
      </c>
      <c r="AN54" s="1"/>
      <c r="AO54" s="1"/>
      <c r="AP54" s="1">
        <v>355.14727030528502</v>
      </c>
      <c r="AQ54" s="1">
        <f t="shared" si="4"/>
        <v>1034.1319000765634</v>
      </c>
      <c r="AR54" s="30">
        <v>1034.1300000000001</v>
      </c>
      <c r="AT54" s="1">
        <v>630</v>
      </c>
      <c r="AU54" s="2">
        <v>4000</v>
      </c>
      <c r="AV54" s="1" t="s">
        <v>88</v>
      </c>
      <c r="AW54" s="1"/>
      <c r="AX54" s="1"/>
      <c r="AY54" s="1">
        <v>1220.0237322570599</v>
      </c>
      <c r="AZ54" s="1">
        <f t="shared" si="5"/>
        <v>3993.0332022907564</v>
      </c>
      <c r="BA54" s="30">
        <v>4000</v>
      </c>
      <c r="BB54" s="5"/>
      <c r="BD54" s="3"/>
      <c r="BE54" s="5"/>
      <c r="BF54" s="5"/>
      <c r="BG54" s="5"/>
      <c r="BH54" s="5"/>
      <c r="BI54" s="8">
        <f>SUM(BI3:BI53)</f>
        <v>26051.511492642403</v>
      </c>
      <c r="BJ54" s="8">
        <f t="shared" ref="BJ54:BK54" si="21">SUM(BJ3:BJ53)</f>
        <v>79886.451723225269</v>
      </c>
      <c r="BK54" s="13">
        <f t="shared" si="21"/>
        <v>106188.81999999999</v>
      </c>
    </row>
    <row r="55" spans="1:63" ht="28.9" x14ac:dyDescent="0.3">
      <c r="B55" s="8" t="s">
        <v>17</v>
      </c>
      <c r="C55" s="8">
        <f>F5+F13+F20+F28+F43</f>
        <v>4979.2673387758659</v>
      </c>
      <c r="D55" s="8">
        <f>C55/C61*100</f>
        <v>4.5837806418441733</v>
      </c>
      <c r="E55" s="8">
        <f>H5+H13+H20+H28+H43</f>
        <v>16273.48</v>
      </c>
      <c r="F55" s="8">
        <f>E55/E61*100</f>
        <v>3.9671552732611164</v>
      </c>
      <c r="AK55" s="1">
        <v>717</v>
      </c>
      <c r="AL55" s="1"/>
      <c r="AM55" s="1" t="s">
        <v>84</v>
      </c>
      <c r="AN55" s="1"/>
      <c r="AO55" s="1"/>
      <c r="AP55" s="1">
        <v>1357.0262211678701</v>
      </c>
      <c r="AQ55" s="1">
        <f t="shared" si="4"/>
        <v>4462.1609183479841</v>
      </c>
      <c r="AR55" s="30">
        <v>4462.16</v>
      </c>
      <c r="AT55" s="1">
        <v>631</v>
      </c>
      <c r="AU55" s="21">
        <v>400</v>
      </c>
      <c r="AV55" s="1" t="s">
        <v>88</v>
      </c>
      <c r="AW55" s="1"/>
      <c r="AX55" s="1"/>
      <c r="AY55" s="1">
        <v>698.59829125492797</v>
      </c>
      <c r="AZ55" s="1">
        <f t="shared" si="5"/>
        <v>2208.9239133578617</v>
      </c>
      <c r="BA55" s="30">
        <v>2208.92</v>
      </c>
      <c r="BB55" s="5"/>
    </row>
    <row r="56" spans="1:63" ht="28.9" x14ac:dyDescent="0.3">
      <c r="B56" s="8" t="s">
        <v>14</v>
      </c>
      <c r="C56" s="8">
        <f>F50+F49+F39+F36+F35+F27+F19+F18+F16+F8+F10</f>
        <v>13516.161736921782</v>
      </c>
      <c r="D56" s="8">
        <f>C56/C61*100</f>
        <v>12.442617820349533</v>
      </c>
      <c r="E56" s="8">
        <f>H49+H50+H39+H36+H35+H27+H19+H18+H16+H10+H8</f>
        <v>47893.43</v>
      </c>
      <c r="F56" s="8">
        <f>E56/E61*100</f>
        <v>11.675478962032839</v>
      </c>
      <c r="AK56" s="1">
        <v>718</v>
      </c>
      <c r="AL56" s="1">
        <v>330</v>
      </c>
      <c r="AM56" s="1" t="s">
        <v>84</v>
      </c>
      <c r="AN56" s="1"/>
      <c r="AO56" s="1"/>
      <c r="AP56" s="1">
        <v>125.65108550872699</v>
      </c>
      <c r="AQ56" s="1">
        <f t="shared" si="4"/>
        <v>248.88775417666031</v>
      </c>
      <c r="AR56" s="30">
        <v>330</v>
      </c>
      <c r="AT56" s="1">
        <v>632</v>
      </c>
      <c r="AU56" s="2">
        <v>3500</v>
      </c>
      <c r="AV56" s="1" t="s">
        <v>88</v>
      </c>
      <c r="AW56" s="1"/>
      <c r="AX56" s="1"/>
      <c r="AY56" s="1">
        <v>1051.5140123936401</v>
      </c>
      <c r="AZ56" s="1">
        <f t="shared" si="5"/>
        <v>3416.4603448060789</v>
      </c>
      <c r="BA56" s="30">
        <v>3500</v>
      </c>
      <c r="BB56" s="5"/>
    </row>
    <row r="57" spans="1:63" ht="28.9" x14ac:dyDescent="0.3">
      <c r="B57" s="8" t="s">
        <v>12</v>
      </c>
      <c r="C57" s="8">
        <f>F45+F37+F34+F32+F31+F26+F15+F17+F14+F9+F7+F3+F29</f>
        <v>15113.023415134809</v>
      </c>
      <c r="D57" s="8">
        <f>C57/C61*100</f>
        <v>13.912646069544762</v>
      </c>
      <c r="E57" s="8">
        <f>H45+H37+H34+H31+H32+H29+H26+H15+H9+H7+H3+H17+H14</f>
        <v>46770</v>
      </c>
      <c r="F57" s="8">
        <f>E57/E61*100</f>
        <v>11.401608760414025</v>
      </c>
      <c r="AK57" s="1">
        <v>719</v>
      </c>
      <c r="AL57" s="1"/>
      <c r="AM57" s="1" t="s">
        <v>84</v>
      </c>
      <c r="AN57" s="1"/>
      <c r="AO57" s="1"/>
      <c r="AP57" s="1">
        <v>596.56759166105701</v>
      </c>
      <c r="AQ57" s="1">
        <f t="shared" si="4"/>
        <v>1860.1756716274729</v>
      </c>
      <c r="AR57" s="30">
        <v>1860.18</v>
      </c>
      <c r="AT57" s="1">
        <v>633</v>
      </c>
      <c r="AU57" s="22">
        <v>3000</v>
      </c>
      <c r="AV57" s="1" t="s">
        <v>88</v>
      </c>
      <c r="AW57" s="1"/>
      <c r="AX57" s="1"/>
      <c r="AY57" s="1">
        <v>406.79880187375102</v>
      </c>
      <c r="AZ57" s="1">
        <f t="shared" si="5"/>
        <v>1210.5027804912265</v>
      </c>
      <c r="BA57" s="30">
        <v>1210.5</v>
      </c>
      <c r="BB57" s="5"/>
    </row>
    <row r="58" spans="1:63" ht="30" x14ac:dyDescent="0.25">
      <c r="B58" s="8" t="s">
        <v>99</v>
      </c>
      <c r="C58" s="8">
        <f>F48+F47+F46+F44+F42+F41+F40+F38+F33+F30+F25+F24+F22+F21+F12+F11+F4</f>
        <v>45800.857750731528</v>
      </c>
      <c r="D58" s="8">
        <f>C58/C61*100</f>
        <v>42.163047463379435</v>
      </c>
      <c r="E58" s="8">
        <f>H48+H47+H46+H44+H42+H41+H40+H38+H33+H30+H25+H22+H21+H12+H11+H4+H24</f>
        <v>159222.66999999995</v>
      </c>
      <c r="F58" s="8">
        <f>E58/E61*100</f>
        <v>38.815364317479386</v>
      </c>
      <c r="AK58" s="1">
        <v>720</v>
      </c>
      <c r="AL58" s="21">
        <v>600</v>
      </c>
      <c r="AM58" s="1" t="s">
        <v>84</v>
      </c>
      <c r="AN58" s="1"/>
      <c r="AO58" s="1"/>
      <c r="AP58" s="1">
        <v>470.98916525843902</v>
      </c>
      <c r="AQ58" s="1">
        <f t="shared" si="4"/>
        <v>1430.496527848275</v>
      </c>
      <c r="AR58" s="30">
        <v>1430.49</v>
      </c>
      <c r="AT58" s="1">
        <v>634</v>
      </c>
      <c r="AU58" s="1"/>
      <c r="AV58" s="1" t="s">
        <v>88</v>
      </c>
      <c r="AW58" s="1"/>
      <c r="AX58" s="1"/>
      <c r="AY58" s="1">
        <v>688.79578905945198</v>
      </c>
      <c r="AZ58" s="1">
        <f t="shared" si="5"/>
        <v>2175.383671845821</v>
      </c>
      <c r="BA58" s="30">
        <v>2175.38</v>
      </c>
      <c r="BB58" s="5"/>
    </row>
    <row r="59" spans="1:63" ht="30" x14ac:dyDescent="0.25">
      <c r="B59" s="20" t="s">
        <v>100</v>
      </c>
      <c r="C59" s="8">
        <f>F23</f>
        <v>29172.960792231701</v>
      </c>
      <c r="D59" s="8">
        <f>C59/C61*100</f>
        <v>26.85584923375211</v>
      </c>
      <c r="E59" s="8">
        <f>H23</f>
        <v>140000</v>
      </c>
      <c r="F59" s="8">
        <f>E59/E61*100</f>
        <v>34.129254360871577</v>
      </c>
      <c r="AK59" s="1">
        <v>721</v>
      </c>
      <c r="AL59" s="1"/>
      <c r="AM59" s="1" t="s">
        <v>84</v>
      </c>
      <c r="AN59" s="1"/>
      <c r="AO59" s="1"/>
      <c r="AP59" s="1">
        <v>134.164080322014</v>
      </c>
      <c r="AQ59" s="1">
        <f t="shared" si="4"/>
        <v>278.01581722980313</v>
      </c>
      <c r="AR59" s="30">
        <v>278.02</v>
      </c>
      <c r="AT59" s="1">
        <v>635</v>
      </c>
      <c r="AU59" s="21">
        <v>280</v>
      </c>
      <c r="AV59" s="1" t="s">
        <v>88</v>
      </c>
      <c r="AW59" s="1"/>
      <c r="AX59" s="1"/>
      <c r="AY59" s="1">
        <v>408.92882239475102</v>
      </c>
      <c r="AZ59" s="1">
        <f t="shared" si="5"/>
        <v>1217.7908587058801</v>
      </c>
      <c r="BA59" s="30">
        <v>1217.79</v>
      </c>
      <c r="BB59" s="5"/>
    </row>
    <row r="60" spans="1:63" ht="30" x14ac:dyDescent="0.25">
      <c r="B60" s="20" t="s">
        <v>104</v>
      </c>
      <c r="C60" s="8">
        <f>F6</f>
        <v>45.687584498465803</v>
      </c>
      <c r="D60" s="8">
        <f>C60/C61*100</f>
        <v>4.2058771130005862E-2</v>
      </c>
      <c r="E60" s="8">
        <f>H6</f>
        <v>45.69</v>
      </c>
      <c r="F60" s="8">
        <f>E60/E61*100</f>
        <v>1.1138325941058728E-2</v>
      </c>
      <c r="AK60" s="1">
        <v>722</v>
      </c>
      <c r="AL60" s="1"/>
      <c r="AM60" s="1" t="s">
        <v>84</v>
      </c>
      <c r="AN60" s="1"/>
      <c r="AO60" s="1"/>
      <c r="AP60" s="1">
        <v>556.23793843180897</v>
      </c>
      <c r="AQ60" s="1">
        <f t="shared" si="4"/>
        <v>1722.1837301382777</v>
      </c>
      <c r="AR60" s="30">
        <v>1722.18</v>
      </c>
      <c r="AT60" s="1">
        <v>636</v>
      </c>
      <c r="AU60" s="1">
        <v>230</v>
      </c>
      <c r="AV60" s="1" t="s">
        <v>88</v>
      </c>
      <c r="AW60" s="1"/>
      <c r="AX60" s="1"/>
      <c r="AY60" s="1">
        <v>107.14967210120599</v>
      </c>
      <c r="AZ60" s="1">
        <f t="shared" si="5"/>
        <v>185.22331806148642</v>
      </c>
      <c r="BA60" s="30">
        <v>230</v>
      </c>
      <c r="BB60" s="5"/>
    </row>
    <row r="61" spans="1:63" ht="30" x14ac:dyDescent="0.25">
      <c r="B61" s="20" t="s">
        <v>43</v>
      </c>
      <c r="C61" s="8">
        <f>SUM(C55:C60)</f>
        <v>108627.95861829413</v>
      </c>
      <c r="D61" s="8">
        <f t="shared" ref="D61:F61" si="22">SUM(D55:D60)</f>
        <v>100.00000000000001</v>
      </c>
      <c r="E61" s="8">
        <f t="shared" si="22"/>
        <v>410205.26999999996</v>
      </c>
      <c r="F61" s="8">
        <f t="shared" si="22"/>
        <v>100</v>
      </c>
      <c r="AK61" s="1">
        <v>723</v>
      </c>
      <c r="AL61" s="1"/>
      <c r="AM61" s="1" t="s">
        <v>84</v>
      </c>
      <c r="AN61" s="1"/>
      <c r="AO61" s="1"/>
      <c r="AP61" s="1">
        <v>586.44379738293105</v>
      </c>
      <c r="AQ61" s="1">
        <f t="shared" si="4"/>
        <v>1825.536097125437</v>
      </c>
      <c r="AR61" s="30">
        <v>1825.54</v>
      </c>
      <c r="AT61" s="1">
        <v>637</v>
      </c>
      <c r="AU61" s="1"/>
      <c r="AV61" s="1" t="s">
        <v>88</v>
      </c>
      <c r="AW61" s="1"/>
      <c r="AX61" s="1"/>
      <c r="AY61" s="1">
        <v>147.806618991839</v>
      </c>
      <c r="AZ61" s="1">
        <f t="shared" si="5"/>
        <v>324.33512754247636</v>
      </c>
      <c r="BA61" s="30">
        <v>324.33999999999997</v>
      </c>
      <c r="BB61" s="5"/>
    </row>
    <row r="62" spans="1:63" ht="30" x14ac:dyDescent="0.25">
      <c r="AK62" s="1">
        <v>724</v>
      </c>
      <c r="AL62" s="1"/>
      <c r="AM62" s="1" t="s">
        <v>84</v>
      </c>
      <c r="AN62" s="1"/>
      <c r="AO62" s="1"/>
      <c r="AP62" s="1">
        <v>1561.44824308379</v>
      </c>
      <c r="AQ62" s="1">
        <f t="shared" si="4"/>
        <v>5161.6113085354964</v>
      </c>
      <c r="AR62" s="30">
        <v>5161.6099999999997</v>
      </c>
      <c r="AT62" s="1">
        <v>638</v>
      </c>
      <c r="AU62" s="2">
        <v>2500</v>
      </c>
      <c r="AV62" s="1" t="s">
        <v>88</v>
      </c>
      <c r="AW62" s="1"/>
      <c r="AX62" s="1"/>
      <c r="AY62" s="1">
        <v>961.24395851243105</v>
      </c>
      <c r="AZ62" s="1">
        <f t="shared" si="5"/>
        <v>3107.5923284461342</v>
      </c>
      <c r="BA62" s="30">
        <v>2500</v>
      </c>
      <c r="BB62" s="5"/>
    </row>
    <row r="63" spans="1:63" ht="30" x14ac:dyDescent="0.25">
      <c r="AK63" s="1">
        <v>725</v>
      </c>
      <c r="AL63" s="22">
        <v>8000</v>
      </c>
      <c r="AM63" s="1" t="s">
        <v>84</v>
      </c>
      <c r="AN63" s="1"/>
      <c r="AO63" s="1"/>
      <c r="AP63" s="1">
        <v>4657.9457222798601</v>
      </c>
      <c r="AQ63" s="1">
        <f t="shared" si="4"/>
        <v>15756.58708335277</v>
      </c>
      <c r="AR63" s="30">
        <v>15756.59</v>
      </c>
      <c r="AT63" s="1">
        <v>639</v>
      </c>
      <c r="AU63" s="2">
        <v>6000</v>
      </c>
      <c r="AV63" s="1" t="s">
        <v>88</v>
      </c>
      <c r="AW63" s="1"/>
      <c r="AX63" s="1"/>
      <c r="AY63" s="1">
        <v>1695.19327716885</v>
      </c>
      <c r="AZ63" s="1">
        <f t="shared" si="5"/>
        <v>5618.8733171609383</v>
      </c>
      <c r="BA63" s="30">
        <v>6000</v>
      </c>
      <c r="BB63" s="5"/>
    </row>
    <row r="64" spans="1:63" ht="30" x14ac:dyDescent="0.25">
      <c r="AK64" s="1">
        <v>726</v>
      </c>
      <c r="AL64" s="21">
        <v>380</v>
      </c>
      <c r="AM64" s="1" t="s">
        <v>84</v>
      </c>
      <c r="AN64" s="1"/>
      <c r="AO64" s="1"/>
      <c r="AP64" s="1">
        <v>442.71298561057</v>
      </c>
      <c r="AQ64" s="1">
        <f t="shared" si="4"/>
        <v>1333.7467515651265</v>
      </c>
      <c r="AR64" s="30">
        <v>1333.75</v>
      </c>
      <c r="AT64" s="1">
        <v>640</v>
      </c>
      <c r="AU64" s="22">
        <v>7904</v>
      </c>
      <c r="AV64" s="1" t="s">
        <v>88</v>
      </c>
      <c r="AW64" s="1"/>
      <c r="AX64" s="1"/>
      <c r="AY64" s="1">
        <v>1269.5320262657999</v>
      </c>
      <c r="AZ64" s="1">
        <f t="shared" si="5"/>
        <v>4162.4307810710616</v>
      </c>
      <c r="BA64" s="30">
        <v>4162.43</v>
      </c>
      <c r="BB64" s="5"/>
    </row>
    <row r="65" spans="37:54" ht="30" x14ac:dyDescent="0.25">
      <c r="AK65" s="1">
        <v>727</v>
      </c>
      <c r="AL65" s="1"/>
      <c r="AM65" s="1" t="s">
        <v>84</v>
      </c>
      <c r="AN65" s="1"/>
      <c r="AO65" s="1"/>
      <c r="AP65" s="1">
        <v>151.74716755436901</v>
      </c>
      <c r="AQ65" s="1">
        <f t="shared" si="4"/>
        <v>338.17810850402907</v>
      </c>
      <c r="AR65" s="30">
        <v>338.18</v>
      </c>
      <c r="AT65" s="1">
        <v>641</v>
      </c>
      <c r="AU65" s="2">
        <v>6300</v>
      </c>
      <c r="AV65" s="1" t="s">
        <v>88</v>
      </c>
      <c r="AW65" s="1"/>
      <c r="AX65" s="1"/>
      <c r="AY65" s="1">
        <v>2004.87262916804</v>
      </c>
      <c r="AZ65" s="1">
        <f t="shared" si="5"/>
        <v>6678.4721879613662</v>
      </c>
      <c r="BA65" s="30">
        <v>6300</v>
      </c>
      <c r="BB65" s="5"/>
    </row>
    <row r="66" spans="37:54" ht="30" x14ac:dyDescent="0.25">
      <c r="AK66" s="1">
        <v>728</v>
      </c>
      <c r="AL66" s="1"/>
      <c r="AM66" s="1" t="s">
        <v>84</v>
      </c>
      <c r="AN66" s="1"/>
      <c r="AO66" s="1"/>
      <c r="AP66" s="1">
        <v>148.643009317706</v>
      </c>
      <c r="AQ66" s="1">
        <f t="shared" si="4"/>
        <v>327.55692068146288</v>
      </c>
      <c r="AR66" s="30">
        <v>327.56</v>
      </c>
      <c r="AT66" s="1">
        <v>642</v>
      </c>
      <c r="AU66" s="21">
        <v>16</v>
      </c>
      <c r="AV66" s="1" t="s">
        <v>88</v>
      </c>
      <c r="AW66" s="1"/>
      <c r="AX66" s="1"/>
      <c r="AY66" s="1">
        <v>96.984923759629893</v>
      </c>
      <c r="AZ66" s="1">
        <f t="shared" si="5"/>
        <v>150.44361513594967</v>
      </c>
      <c r="BA66" s="30">
        <v>150.44</v>
      </c>
      <c r="BB66" s="5"/>
    </row>
    <row r="67" spans="37:54" ht="30" x14ac:dyDescent="0.25">
      <c r="AK67" s="1">
        <v>729</v>
      </c>
      <c r="AL67" s="1"/>
      <c r="AM67" s="1" t="s">
        <v>84</v>
      </c>
      <c r="AN67" s="1"/>
      <c r="AO67" s="1"/>
      <c r="AP67" s="1">
        <v>184.93200881226801</v>
      </c>
      <c r="AQ67" s="1">
        <f t="shared" si="4"/>
        <v>451.72336135205626</v>
      </c>
      <c r="AR67" s="30">
        <v>451.72</v>
      </c>
      <c r="AT67" s="1">
        <v>643</v>
      </c>
      <c r="AU67" s="2">
        <v>2400</v>
      </c>
      <c r="AV67" s="1" t="s">
        <v>88</v>
      </c>
      <c r="AW67" s="1"/>
      <c r="AX67" s="1"/>
      <c r="AY67" s="1">
        <v>1100.6684812476999</v>
      </c>
      <c r="AZ67" s="1">
        <f t="shared" si="5"/>
        <v>3584.6472754371302</v>
      </c>
      <c r="BA67" s="30">
        <v>2400</v>
      </c>
      <c r="BB67" s="5"/>
    </row>
    <row r="68" spans="37:54" ht="30" x14ac:dyDescent="0.25">
      <c r="AK68" s="1">
        <v>745</v>
      </c>
      <c r="AL68" s="21">
        <v>180</v>
      </c>
      <c r="AM68" s="1" t="s">
        <v>84</v>
      </c>
      <c r="AN68" s="1"/>
      <c r="AO68" s="1"/>
      <c r="AP68" s="1">
        <v>294.89811643368103</v>
      </c>
      <c r="AQ68" s="1">
        <f t="shared" ref="AQ68:AQ72" si="23">3.4216*AP68-181.04</f>
        <v>827.98339518948308</v>
      </c>
      <c r="AR68" s="30">
        <v>827.98</v>
      </c>
      <c r="AT68" s="1">
        <v>644</v>
      </c>
      <c r="AU68" s="2">
        <v>7900</v>
      </c>
      <c r="AV68" s="1" t="s">
        <v>88</v>
      </c>
      <c r="AW68" s="1"/>
      <c r="AX68" s="1"/>
      <c r="AY68" s="1">
        <v>2122.8423329541502</v>
      </c>
      <c r="AZ68" s="1">
        <f t="shared" ref="AZ68:AZ120" si="24">3.4216*AY68-181.4</f>
        <v>7082.1173264359213</v>
      </c>
      <c r="BA68" s="30">
        <v>7900</v>
      </c>
      <c r="BB68" s="5"/>
    </row>
    <row r="69" spans="37:54" ht="30" x14ac:dyDescent="0.25">
      <c r="AK69" s="1">
        <v>896</v>
      </c>
      <c r="AL69" s="1"/>
      <c r="AM69" s="1" t="s">
        <v>84</v>
      </c>
      <c r="AN69" s="1"/>
      <c r="AO69" s="1"/>
      <c r="AP69" s="1">
        <v>37.608787574270998</v>
      </c>
      <c r="AQ69" s="1">
        <f t="shared" si="23"/>
        <v>-52.357772435874324</v>
      </c>
      <c r="AR69" s="30">
        <v>37.61</v>
      </c>
      <c r="AT69" s="1">
        <v>645</v>
      </c>
      <c r="AU69" s="22">
        <v>2500</v>
      </c>
      <c r="AV69" s="1" t="s">
        <v>88</v>
      </c>
      <c r="AW69" s="1"/>
      <c r="AX69" s="1"/>
      <c r="AY69" s="1">
        <v>1131.2394983137399</v>
      </c>
      <c r="AZ69" s="1">
        <f t="shared" si="24"/>
        <v>3689.2490674302926</v>
      </c>
      <c r="BA69" s="30">
        <v>3689.25</v>
      </c>
      <c r="BB69" s="5"/>
    </row>
    <row r="70" spans="37:54" ht="30" x14ac:dyDescent="0.25">
      <c r="AK70" s="1">
        <v>897</v>
      </c>
      <c r="AL70" s="1"/>
      <c r="AM70" s="1" t="s">
        <v>84</v>
      </c>
      <c r="AN70" s="1"/>
      <c r="AO70" s="1"/>
      <c r="AP70" s="1">
        <v>537.34363923882199</v>
      </c>
      <c r="AQ70" s="1">
        <f t="shared" si="23"/>
        <v>1657.5349960195535</v>
      </c>
      <c r="AR70" s="30">
        <v>1657.5350000000001</v>
      </c>
      <c r="AT70" s="1">
        <v>647</v>
      </c>
      <c r="AU70" s="22">
        <v>6000</v>
      </c>
      <c r="AV70" s="1" t="s">
        <v>88</v>
      </c>
      <c r="AW70" s="1"/>
      <c r="AX70" s="1"/>
      <c r="AY70" s="1">
        <v>614.62354715145102</v>
      </c>
      <c r="AZ70" s="1">
        <f t="shared" si="24"/>
        <v>1921.595928933405</v>
      </c>
      <c r="BA70" s="30">
        <v>1921.6</v>
      </c>
      <c r="BB70" s="5"/>
    </row>
    <row r="71" spans="37:54" ht="30" x14ac:dyDescent="0.25">
      <c r="AK71" s="1">
        <v>904</v>
      </c>
      <c r="AL71" s="1"/>
      <c r="AM71" s="1" t="s">
        <v>84</v>
      </c>
      <c r="AN71" s="1"/>
      <c r="AO71" s="1"/>
      <c r="AP71" s="1">
        <v>598.32103483841797</v>
      </c>
      <c r="AQ71" s="1">
        <f t="shared" si="23"/>
        <v>1866.1752528031311</v>
      </c>
      <c r="AR71" s="30">
        <v>1866.18</v>
      </c>
      <c r="AT71" s="1">
        <v>648</v>
      </c>
      <c r="AU71" s="2">
        <v>17000</v>
      </c>
      <c r="AV71" s="1" t="s">
        <v>88</v>
      </c>
      <c r="AW71" s="1"/>
      <c r="AX71" s="1"/>
      <c r="AY71" s="1">
        <v>4788.0927370256904</v>
      </c>
      <c r="AZ71" s="1">
        <f t="shared" si="24"/>
        <v>16201.538109007104</v>
      </c>
      <c r="BA71" s="30">
        <v>17000</v>
      </c>
      <c r="BB71" s="5"/>
    </row>
    <row r="72" spans="37:54" ht="30" x14ac:dyDescent="0.25">
      <c r="AK72" s="1">
        <v>905</v>
      </c>
      <c r="AL72" s="1"/>
      <c r="AM72" s="1" t="s">
        <v>84</v>
      </c>
      <c r="AN72" s="1"/>
      <c r="AO72" s="1"/>
      <c r="AP72" s="10">
        <v>28.2529871564264</v>
      </c>
      <c r="AQ72" s="10">
        <f t="shared" si="23"/>
        <v>-84.369579145571421</v>
      </c>
      <c r="AR72" s="32">
        <v>28.25</v>
      </c>
      <c r="AT72" s="1">
        <v>649</v>
      </c>
      <c r="AU72" s="2">
        <v>5000</v>
      </c>
      <c r="AV72" s="1" t="s">
        <v>88</v>
      </c>
      <c r="AW72" s="1"/>
      <c r="AX72" s="1"/>
      <c r="AY72" s="1">
        <v>1025.1615743146399</v>
      </c>
      <c r="AZ72" s="1">
        <f t="shared" si="24"/>
        <v>3326.2928426749718</v>
      </c>
      <c r="BA72" s="30">
        <v>5000</v>
      </c>
      <c r="BB72" s="5"/>
    </row>
    <row r="73" spans="37:54" ht="30" x14ac:dyDescent="0.25">
      <c r="AK73" s="5"/>
      <c r="AL73" s="5"/>
      <c r="AM73" s="5"/>
      <c r="AN73" s="5"/>
      <c r="AO73" s="5"/>
      <c r="AP73" s="8">
        <f>SUM(AP3:AP72)</f>
        <v>71953.523539736372</v>
      </c>
      <c r="AQ73" s="8">
        <f t="shared" ref="AQ73:AR73" si="25">SUM(AQ3:AQ72)</f>
        <v>233523.37614356197</v>
      </c>
      <c r="AR73" s="13">
        <f t="shared" si="25"/>
        <v>232636.20499999993</v>
      </c>
      <c r="AT73" s="1">
        <v>650</v>
      </c>
      <c r="AU73" s="1"/>
      <c r="AV73" s="1" t="s">
        <v>88</v>
      </c>
      <c r="AW73" s="1"/>
      <c r="AX73" s="1"/>
      <c r="AY73" s="1">
        <v>490.22499826182099</v>
      </c>
      <c r="AZ73" s="1">
        <f t="shared" si="24"/>
        <v>1495.9538540526466</v>
      </c>
      <c r="BA73" s="30">
        <v>1495.95</v>
      </c>
      <c r="BB73" s="5"/>
    </row>
    <row r="74" spans="37:54" ht="30" x14ac:dyDescent="0.25">
      <c r="AT74" s="1">
        <v>651</v>
      </c>
      <c r="AU74" s="1">
        <v>384</v>
      </c>
      <c r="AV74" s="1" t="s">
        <v>88</v>
      </c>
      <c r="AW74" s="1"/>
      <c r="AX74" s="1"/>
      <c r="AY74" s="1">
        <v>288.99619351208202</v>
      </c>
      <c r="AZ74" s="1">
        <f t="shared" si="24"/>
        <v>807.4293757209399</v>
      </c>
      <c r="BA74" s="30">
        <v>384</v>
      </c>
      <c r="BB74" s="5"/>
    </row>
    <row r="75" spans="37:54" ht="30" x14ac:dyDescent="0.25">
      <c r="AT75" s="1">
        <v>652</v>
      </c>
      <c r="AU75" s="2">
        <v>3000</v>
      </c>
      <c r="AV75" s="1" t="s">
        <v>88</v>
      </c>
      <c r="AW75" s="1"/>
      <c r="AX75" s="1"/>
      <c r="AY75" s="1">
        <v>969.61937721826303</v>
      </c>
      <c r="AZ75" s="1">
        <f t="shared" si="24"/>
        <v>3136.2496610900089</v>
      </c>
      <c r="BA75" s="30">
        <v>3000</v>
      </c>
      <c r="BB75" s="5"/>
    </row>
    <row r="76" spans="37:54" ht="30" x14ac:dyDescent="0.25">
      <c r="AT76" s="1">
        <v>654</v>
      </c>
      <c r="AU76" s="1"/>
      <c r="AV76" s="1" t="s">
        <v>88</v>
      </c>
      <c r="AW76" s="1"/>
      <c r="AX76" s="1"/>
      <c r="AY76" s="1">
        <v>213.43558302575599</v>
      </c>
      <c r="AZ76" s="1">
        <f t="shared" si="24"/>
        <v>548.89119088092673</v>
      </c>
      <c r="BA76" s="30">
        <v>548.89</v>
      </c>
      <c r="BB76" s="5"/>
    </row>
    <row r="77" spans="37:54" ht="30" x14ac:dyDescent="0.25">
      <c r="AT77" s="1">
        <v>655</v>
      </c>
      <c r="AU77" s="1"/>
      <c r="AV77" s="1" t="s">
        <v>88</v>
      </c>
      <c r="AW77" s="1"/>
      <c r="AX77" s="1"/>
      <c r="AY77" s="1">
        <v>99.068155239687201</v>
      </c>
      <c r="AZ77" s="1">
        <f t="shared" si="24"/>
        <v>157.57159996811376</v>
      </c>
      <c r="BA77" s="30">
        <v>157.57</v>
      </c>
      <c r="BB77" s="5"/>
    </row>
    <row r="78" spans="37:54" ht="30" x14ac:dyDescent="0.25">
      <c r="AT78" s="1">
        <v>656</v>
      </c>
      <c r="AU78" s="1">
        <v>550</v>
      </c>
      <c r="AV78" s="1" t="s">
        <v>88</v>
      </c>
      <c r="AW78" s="1"/>
      <c r="AX78" s="1"/>
      <c r="AY78" s="1">
        <v>326.363431481303</v>
      </c>
      <c r="AZ78" s="1">
        <f t="shared" si="24"/>
        <v>935.28511715642651</v>
      </c>
      <c r="BA78" s="30">
        <v>550</v>
      </c>
      <c r="BB78" s="5"/>
    </row>
    <row r="79" spans="37:54" ht="30" x14ac:dyDescent="0.25">
      <c r="AT79" s="1">
        <v>657</v>
      </c>
      <c r="AU79" s="1">
        <v>500</v>
      </c>
      <c r="AV79" s="1" t="s">
        <v>88</v>
      </c>
      <c r="AW79" s="1"/>
      <c r="AX79" s="1"/>
      <c r="AY79" s="1">
        <v>221.38538990563401</v>
      </c>
      <c r="AZ79" s="1">
        <f t="shared" si="24"/>
        <v>576.09225010111743</v>
      </c>
      <c r="BA79" s="30">
        <v>500</v>
      </c>
      <c r="BB79" s="5"/>
    </row>
    <row r="80" spans="37:54" ht="30" x14ac:dyDescent="0.25">
      <c r="AT80" s="1">
        <v>658</v>
      </c>
      <c r="AU80" s="1"/>
      <c r="AV80" s="1" t="s">
        <v>88</v>
      </c>
      <c r="AW80" s="1"/>
      <c r="AX80" s="1"/>
      <c r="AY80" s="1">
        <v>60.355633048772098</v>
      </c>
      <c r="AZ80" s="1">
        <f t="shared" si="24"/>
        <v>25.112834039678631</v>
      </c>
      <c r="BA80" s="30">
        <v>60.36</v>
      </c>
      <c r="BB80" s="5"/>
    </row>
    <row r="81" spans="46:54" ht="30" x14ac:dyDescent="0.25">
      <c r="AT81" s="1">
        <v>659</v>
      </c>
      <c r="AU81" s="1"/>
      <c r="AV81" s="1" t="s">
        <v>88</v>
      </c>
      <c r="AW81" s="1"/>
      <c r="AX81" s="1"/>
      <c r="AY81" s="1">
        <v>37.971066486461098</v>
      </c>
      <c r="AZ81" s="1">
        <f t="shared" si="24"/>
        <v>-51.478198909924714</v>
      </c>
      <c r="BA81" s="30">
        <v>37.97</v>
      </c>
      <c r="BB81" s="5"/>
    </row>
    <row r="82" spans="46:54" ht="30" x14ac:dyDescent="0.25">
      <c r="AT82" s="1">
        <v>660</v>
      </c>
      <c r="AU82" s="2">
        <v>10000</v>
      </c>
      <c r="AV82" s="1" t="s">
        <v>88</v>
      </c>
      <c r="AW82" s="1"/>
      <c r="AX82" s="1"/>
      <c r="AY82" s="1">
        <v>3543.0330348295702</v>
      </c>
      <c r="AZ82" s="1">
        <f t="shared" si="24"/>
        <v>11941.441831972857</v>
      </c>
      <c r="BA82" s="30">
        <v>10000</v>
      </c>
      <c r="BB82" s="5"/>
    </row>
    <row r="83" spans="46:54" ht="30" x14ac:dyDescent="0.25">
      <c r="AT83" s="1">
        <v>661</v>
      </c>
      <c r="AU83" s="1"/>
      <c r="AV83" s="1" t="s">
        <v>88</v>
      </c>
      <c r="AW83" s="1"/>
      <c r="AX83" s="1"/>
      <c r="AY83" s="1">
        <v>290.08379876554699</v>
      </c>
      <c r="AZ83" s="1">
        <f t="shared" si="24"/>
        <v>811.15072585619566</v>
      </c>
      <c r="BA83" s="30">
        <v>811.15</v>
      </c>
      <c r="BB83" s="5"/>
    </row>
    <row r="84" spans="46:54" ht="30" x14ac:dyDescent="0.25">
      <c r="AT84" s="1">
        <v>662</v>
      </c>
      <c r="AU84" s="2">
        <v>8000</v>
      </c>
      <c r="AV84" s="1" t="s">
        <v>88</v>
      </c>
      <c r="AW84" s="1"/>
      <c r="AX84" s="1"/>
      <c r="AY84" s="1">
        <v>1735.04233426417</v>
      </c>
      <c r="AZ84" s="1">
        <f t="shared" si="24"/>
        <v>5755.2208509182847</v>
      </c>
      <c r="BA84" s="30">
        <v>8000</v>
      </c>
      <c r="BB84" s="5"/>
    </row>
    <row r="85" spans="46:54" ht="30" x14ac:dyDescent="0.25">
      <c r="AT85" s="1">
        <v>663</v>
      </c>
      <c r="AU85" s="2">
        <v>3000</v>
      </c>
      <c r="AV85" s="1" t="s">
        <v>88</v>
      </c>
      <c r="AW85" s="1"/>
      <c r="AX85" s="1"/>
      <c r="AY85" s="1">
        <v>863.90412456501599</v>
      </c>
      <c r="AZ85" s="1">
        <f t="shared" si="24"/>
        <v>2774.534352611659</v>
      </c>
      <c r="BA85" s="30">
        <v>3000</v>
      </c>
      <c r="BB85" s="5"/>
    </row>
    <row r="86" spans="46:54" ht="30" x14ac:dyDescent="0.25">
      <c r="AT86" s="1">
        <v>664</v>
      </c>
      <c r="AU86" s="1"/>
      <c r="AV86" s="1" t="s">
        <v>88</v>
      </c>
      <c r="AW86" s="1"/>
      <c r="AX86" s="1"/>
      <c r="AY86" s="1">
        <v>846.12612622680103</v>
      </c>
      <c r="AZ86" s="1">
        <f t="shared" si="24"/>
        <v>2713.7051534976226</v>
      </c>
      <c r="BA86" s="30">
        <v>2713.71</v>
      </c>
      <c r="BB86" s="5"/>
    </row>
    <row r="87" spans="46:54" ht="30" x14ac:dyDescent="0.25">
      <c r="AT87" s="1">
        <v>665</v>
      </c>
      <c r="AU87" s="22">
        <v>1500</v>
      </c>
      <c r="AV87" s="1" t="s">
        <v>88</v>
      </c>
      <c r="AW87" s="1"/>
      <c r="AX87" s="1"/>
      <c r="AY87" s="1">
        <v>1006.56952085696</v>
      </c>
      <c r="AZ87" s="1">
        <f t="shared" si="24"/>
        <v>3262.6782725641747</v>
      </c>
      <c r="BA87" s="30">
        <v>3262.68</v>
      </c>
      <c r="BB87" s="5"/>
    </row>
    <row r="88" spans="46:54" ht="30" x14ac:dyDescent="0.25">
      <c r="AT88" s="1">
        <v>666</v>
      </c>
      <c r="AU88" s="2">
        <v>6000</v>
      </c>
      <c r="AV88" s="1" t="s">
        <v>88</v>
      </c>
      <c r="AW88" s="1"/>
      <c r="AX88" s="1"/>
      <c r="AY88" s="1">
        <v>2072.0026814497901</v>
      </c>
      <c r="AZ88" s="1">
        <f t="shared" si="24"/>
        <v>6908.1643748486022</v>
      </c>
      <c r="BA88" s="30">
        <v>6000</v>
      </c>
      <c r="BB88" s="5"/>
    </row>
    <row r="89" spans="46:54" ht="30" x14ac:dyDescent="0.25">
      <c r="AT89" s="1">
        <v>667</v>
      </c>
      <c r="AU89" s="2">
        <v>3500</v>
      </c>
      <c r="AV89" s="1" t="s">
        <v>88</v>
      </c>
      <c r="AW89" s="1"/>
      <c r="AX89" s="1"/>
      <c r="AY89" s="1">
        <v>1784.5161650857899</v>
      </c>
      <c r="AZ89" s="1">
        <f t="shared" si="24"/>
        <v>5924.5005104575393</v>
      </c>
      <c r="BA89" s="30">
        <v>3500</v>
      </c>
      <c r="BB89" s="5"/>
    </row>
    <row r="90" spans="46:54" ht="30" x14ac:dyDescent="0.25">
      <c r="AT90" s="1">
        <v>668</v>
      </c>
      <c r="AU90" s="1"/>
      <c r="AV90" s="1" t="s">
        <v>88</v>
      </c>
      <c r="AW90" s="1"/>
      <c r="AX90" s="1"/>
      <c r="AY90" s="1">
        <v>572.82099652611998</v>
      </c>
      <c r="AZ90" s="1">
        <f t="shared" si="24"/>
        <v>1778.5643217137722</v>
      </c>
      <c r="BA90" s="30">
        <v>1778.56</v>
      </c>
      <c r="BB90" s="5"/>
    </row>
    <row r="91" spans="46:54" ht="30" x14ac:dyDescent="0.25">
      <c r="AT91" s="1">
        <v>669</v>
      </c>
      <c r="AU91" s="1"/>
      <c r="AV91" s="1" t="s">
        <v>88</v>
      </c>
      <c r="AW91" s="1"/>
      <c r="AX91" s="1"/>
      <c r="AY91" s="1">
        <v>52.423314963261497</v>
      </c>
      <c r="AZ91" s="1">
        <f t="shared" si="24"/>
        <v>-2.0283855217044504</v>
      </c>
      <c r="BA91" s="30">
        <v>52.42</v>
      </c>
      <c r="BB91" s="5"/>
    </row>
    <row r="92" spans="46:54" ht="30" x14ac:dyDescent="0.25">
      <c r="AT92" s="1">
        <v>670</v>
      </c>
      <c r="AU92" s="1"/>
      <c r="AV92" s="1" t="s">
        <v>88</v>
      </c>
      <c r="AW92" s="1"/>
      <c r="AX92" s="1"/>
      <c r="AY92" s="1">
        <v>82.952277804337001</v>
      </c>
      <c r="AZ92" s="1">
        <f t="shared" si="24"/>
        <v>102.42951373531949</v>
      </c>
      <c r="BA92" s="30">
        <v>102.43</v>
      </c>
      <c r="BB92" s="5"/>
    </row>
    <row r="93" spans="46:54" ht="30" x14ac:dyDescent="0.25">
      <c r="AT93" s="1">
        <v>671</v>
      </c>
      <c r="AU93" s="1"/>
      <c r="AV93" s="1" t="s">
        <v>88</v>
      </c>
      <c r="AW93" s="1"/>
      <c r="AX93" s="1"/>
      <c r="AY93" s="1">
        <v>209.69463682298101</v>
      </c>
      <c r="AZ93" s="1">
        <f t="shared" si="24"/>
        <v>536.09116935351187</v>
      </c>
      <c r="BA93" s="30">
        <v>536.09</v>
      </c>
      <c r="BB93" s="5"/>
    </row>
    <row r="94" spans="46:54" ht="30" x14ac:dyDescent="0.25">
      <c r="AT94" s="1">
        <v>673</v>
      </c>
      <c r="AU94" s="21">
        <v>500</v>
      </c>
      <c r="AV94" s="1" t="s">
        <v>88</v>
      </c>
      <c r="AW94" s="1"/>
      <c r="AX94" s="1"/>
      <c r="AY94" s="1">
        <v>355.10129117845503</v>
      </c>
      <c r="AZ94" s="1">
        <f t="shared" si="24"/>
        <v>1033.6145778962018</v>
      </c>
      <c r="BA94" s="30">
        <v>1033.6099999999999</v>
      </c>
      <c r="BB94" s="5"/>
    </row>
    <row r="95" spans="46:54" ht="30" x14ac:dyDescent="0.25">
      <c r="AT95" s="1">
        <v>675</v>
      </c>
      <c r="AU95" s="22">
        <v>1000</v>
      </c>
      <c r="AV95" s="1" t="s">
        <v>88</v>
      </c>
      <c r="AW95" s="1"/>
      <c r="AX95" s="1"/>
      <c r="AY95" s="1">
        <v>897.84894139518701</v>
      </c>
      <c r="AZ95" s="1">
        <f t="shared" si="24"/>
        <v>2890.6799378777719</v>
      </c>
      <c r="BA95" s="30">
        <v>2890.68</v>
      </c>
      <c r="BB95" s="5"/>
    </row>
    <row r="96" spans="46:54" ht="30" x14ac:dyDescent="0.25">
      <c r="AT96" s="1">
        <v>676</v>
      </c>
      <c r="AU96" s="2">
        <v>1200</v>
      </c>
      <c r="AV96" s="1" t="s">
        <v>88</v>
      </c>
      <c r="AW96" s="1"/>
      <c r="AX96" s="1"/>
      <c r="AY96" s="1">
        <v>523.83828703925803</v>
      </c>
      <c r="AZ96" s="1">
        <f t="shared" si="24"/>
        <v>1610.9650829335253</v>
      </c>
      <c r="BA96" s="30">
        <v>1200</v>
      </c>
      <c r="BB96" s="5"/>
    </row>
    <row r="97" spans="46:54" ht="30" x14ac:dyDescent="0.25">
      <c r="AT97" s="1">
        <v>677</v>
      </c>
      <c r="AU97" s="2">
        <v>6300</v>
      </c>
      <c r="AV97" s="1" t="s">
        <v>88</v>
      </c>
      <c r="AW97" s="1"/>
      <c r="AX97" s="1"/>
      <c r="AY97" s="1">
        <v>1556.09171319128</v>
      </c>
      <c r="AZ97" s="1">
        <f t="shared" si="24"/>
        <v>5142.9234058552838</v>
      </c>
      <c r="BA97" s="30">
        <v>6300</v>
      </c>
      <c r="BB97" s="5"/>
    </row>
    <row r="98" spans="46:54" ht="30" x14ac:dyDescent="0.25">
      <c r="AT98" s="1">
        <v>678</v>
      </c>
      <c r="AU98" s="2">
        <v>3000</v>
      </c>
      <c r="AV98" s="1" t="s">
        <v>88</v>
      </c>
      <c r="AW98" s="1"/>
      <c r="AX98" s="1"/>
      <c r="AY98" s="1">
        <v>880.96429572821103</v>
      </c>
      <c r="AZ98" s="1">
        <f t="shared" si="24"/>
        <v>2832.9074342636468</v>
      </c>
      <c r="BA98" s="30">
        <v>3000</v>
      </c>
      <c r="BB98" s="5"/>
    </row>
    <row r="99" spans="46:54" ht="30" x14ac:dyDescent="0.25">
      <c r="AT99" s="1">
        <v>73</v>
      </c>
      <c r="AU99" s="2">
        <v>1470</v>
      </c>
      <c r="AV99" s="1" t="s">
        <v>88</v>
      </c>
      <c r="AW99" s="1"/>
      <c r="AX99" s="1"/>
      <c r="AY99" s="1">
        <v>1117.3894493354201</v>
      </c>
      <c r="AZ99" s="1">
        <f t="shared" si="24"/>
        <v>3641.8597398460734</v>
      </c>
      <c r="BA99" s="30">
        <v>1470</v>
      </c>
      <c r="BB99" s="5"/>
    </row>
    <row r="100" spans="46:54" ht="30" x14ac:dyDescent="0.25">
      <c r="AT100" s="1">
        <v>75</v>
      </c>
      <c r="AU100" s="1"/>
      <c r="AV100" s="1" t="s">
        <v>88</v>
      </c>
      <c r="AW100" s="1"/>
      <c r="AX100" s="1"/>
      <c r="AY100" s="1">
        <v>190.675578152676</v>
      </c>
      <c r="AZ100" s="1">
        <f t="shared" si="24"/>
        <v>471.01555820719625</v>
      </c>
      <c r="BA100" s="30">
        <v>471.02</v>
      </c>
      <c r="BB100" s="5"/>
    </row>
    <row r="101" spans="46:54" ht="30" x14ac:dyDescent="0.25">
      <c r="AT101" s="1">
        <v>77</v>
      </c>
      <c r="AU101" s="2">
        <v>9000</v>
      </c>
      <c r="AV101" s="1" t="s">
        <v>88</v>
      </c>
      <c r="AW101" s="1"/>
      <c r="AX101" s="1"/>
      <c r="AY101" s="1">
        <v>3149.6215466895701</v>
      </c>
      <c r="AZ101" s="1">
        <f t="shared" si="24"/>
        <v>10595.345084153034</v>
      </c>
      <c r="BA101" s="30">
        <v>9000</v>
      </c>
      <c r="BB101" s="5"/>
    </row>
    <row r="102" spans="46:54" ht="30" x14ac:dyDescent="0.25">
      <c r="AT102" s="1">
        <v>78</v>
      </c>
      <c r="AU102" s="21">
        <v>960</v>
      </c>
      <c r="AV102" s="1" t="s">
        <v>88</v>
      </c>
      <c r="AW102" s="1"/>
      <c r="AX102" s="1"/>
      <c r="AY102" s="1">
        <v>1451.2446408744099</v>
      </c>
      <c r="AZ102" s="1">
        <f t="shared" si="24"/>
        <v>4784.1786632158819</v>
      </c>
      <c r="BA102" s="30">
        <v>4784.18</v>
      </c>
      <c r="BB102" s="5"/>
    </row>
    <row r="103" spans="46:54" ht="30" x14ac:dyDescent="0.25">
      <c r="AT103" s="1">
        <v>79</v>
      </c>
      <c r="AU103" s="1"/>
      <c r="AV103" s="1" t="s">
        <v>88</v>
      </c>
      <c r="AW103" s="1"/>
      <c r="AX103" s="1"/>
      <c r="AY103" s="1">
        <v>193.00470063767901</v>
      </c>
      <c r="AZ103" s="1">
        <f t="shared" si="24"/>
        <v>478.98488370188261</v>
      </c>
      <c r="BA103" s="30">
        <v>478.98</v>
      </c>
      <c r="BB103" s="5"/>
    </row>
    <row r="104" spans="46:54" ht="30" x14ac:dyDescent="0.25">
      <c r="AT104" s="1">
        <v>80</v>
      </c>
      <c r="AU104" s="22">
        <v>10000</v>
      </c>
      <c r="AV104" s="1" t="s">
        <v>88</v>
      </c>
      <c r="AW104" s="1"/>
      <c r="AX104" s="1"/>
      <c r="AY104" s="1">
        <v>1907.75364334746</v>
      </c>
      <c r="AZ104" s="1">
        <f t="shared" si="24"/>
        <v>6346.1698660776701</v>
      </c>
      <c r="BA104" s="30">
        <v>6346.17</v>
      </c>
      <c r="BB104" s="5"/>
    </row>
    <row r="105" spans="46:54" ht="30" x14ac:dyDescent="0.25">
      <c r="AT105" s="1">
        <v>81</v>
      </c>
      <c r="AU105" s="1"/>
      <c r="AV105" s="1" t="s">
        <v>88</v>
      </c>
      <c r="AW105" s="1"/>
      <c r="AX105" s="1"/>
      <c r="AY105" s="1">
        <v>3128.7419034290601</v>
      </c>
      <c r="AZ105" s="1">
        <f t="shared" si="24"/>
        <v>10523.903296772873</v>
      </c>
      <c r="BA105" s="30">
        <v>10523.9</v>
      </c>
      <c r="BB105" s="5"/>
    </row>
    <row r="106" spans="46:54" ht="30" x14ac:dyDescent="0.25">
      <c r="AT106" s="1">
        <v>82</v>
      </c>
      <c r="AU106" s="22">
        <v>3000</v>
      </c>
      <c r="AV106" s="1" t="s">
        <v>88</v>
      </c>
      <c r="AW106" s="1"/>
      <c r="AX106" s="1"/>
      <c r="AY106" s="1">
        <v>1845.5451215712901</v>
      </c>
      <c r="AZ106" s="1">
        <f t="shared" si="24"/>
        <v>6133.3171879683268</v>
      </c>
      <c r="BA106" s="30">
        <v>6133.32</v>
      </c>
      <c r="BB106" s="5"/>
    </row>
    <row r="107" spans="46:54" ht="30" x14ac:dyDescent="0.25">
      <c r="AT107" s="1">
        <v>877</v>
      </c>
      <c r="AU107" s="1"/>
      <c r="AV107" s="1" t="s">
        <v>88</v>
      </c>
      <c r="AW107" s="1"/>
      <c r="AX107" s="1"/>
      <c r="AY107" s="1">
        <v>800.88410059526598</v>
      </c>
      <c r="AZ107" s="1">
        <f t="shared" si="24"/>
        <v>2558.9050385967621</v>
      </c>
      <c r="BA107" s="30">
        <v>2558.9</v>
      </c>
      <c r="BB107" s="5"/>
    </row>
    <row r="108" spans="46:54" ht="30" x14ac:dyDescent="0.25">
      <c r="AT108" s="1">
        <v>882</v>
      </c>
      <c r="AU108" s="1">
        <v>16</v>
      </c>
      <c r="AV108" s="1" t="s">
        <v>88</v>
      </c>
      <c r="AW108" s="1"/>
      <c r="AX108" s="1"/>
      <c r="AY108" s="1">
        <v>118.423490240142</v>
      </c>
      <c r="AZ108" s="1">
        <f t="shared" si="24"/>
        <v>223.79781420566988</v>
      </c>
      <c r="BA108" s="30">
        <v>223.8</v>
      </c>
      <c r="BB108" s="5"/>
    </row>
    <row r="109" spans="46:54" ht="30" x14ac:dyDescent="0.25">
      <c r="AT109" s="1">
        <v>888</v>
      </c>
      <c r="AU109" s="1"/>
      <c r="AV109" s="1" t="s">
        <v>88</v>
      </c>
      <c r="AW109" s="1"/>
      <c r="AX109" s="1"/>
      <c r="AY109" s="1">
        <v>94.908179912878595</v>
      </c>
      <c r="AZ109" s="1">
        <f t="shared" si="24"/>
        <v>143.33782838990541</v>
      </c>
      <c r="BA109" s="30">
        <v>143.34</v>
      </c>
      <c r="BB109" s="5"/>
    </row>
    <row r="110" spans="46:54" ht="30" x14ac:dyDescent="0.25">
      <c r="AT110" s="1">
        <v>889</v>
      </c>
      <c r="AU110" s="1"/>
      <c r="AV110" s="1" t="s">
        <v>88</v>
      </c>
      <c r="AW110" s="1"/>
      <c r="AX110" s="1"/>
      <c r="AY110" s="1">
        <v>294.78376475482003</v>
      </c>
      <c r="AZ110" s="1">
        <f t="shared" si="24"/>
        <v>827.23212948509229</v>
      </c>
      <c r="BA110" s="30">
        <v>827.23</v>
      </c>
      <c r="BB110" s="5"/>
    </row>
    <row r="111" spans="46:54" ht="30" x14ac:dyDescent="0.25">
      <c r="AT111" s="1">
        <v>890</v>
      </c>
      <c r="AU111" s="1"/>
      <c r="AV111" s="1" t="s">
        <v>88</v>
      </c>
      <c r="AW111" s="1"/>
      <c r="AX111" s="1"/>
      <c r="AY111" s="1">
        <v>640.28899579144297</v>
      </c>
      <c r="AZ111" s="1">
        <f t="shared" si="24"/>
        <v>2009.4128280000014</v>
      </c>
      <c r="BA111" s="30">
        <v>2009.41</v>
      </c>
      <c r="BB111" s="5"/>
    </row>
    <row r="112" spans="46:54" ht="30" x14ac:dyDescent="0.25">
      <c r="AT112" s="1">
        <v>899</v>
      </c>
      <c r="AU112" s="1"/>
      <c r="AV112" s="1" t="s">
        <v>88</v>
      </c>
      <c r="AW112" s="1"/>
      <c r="AX112" s="1"/>
      <c r="AY112" s="1">
        <v>48.491449319247799</v>
      </c>
      <c r="AZ112" s="1">
        <f t="shared" si="24"/>
        <v>-15.481657009261738</v>
      </c>
      <c r="BA112" s="30">
        <v>48.49</v>
      </c>
      <c r="BB112" s="5"/>
    </row>
    <row r="113" spans="46:54" ht="30" x14ac:dyDescent="0.25">
      <c r="AT113" s="1">
        <v>900</v>
      </c>
      <c r="AU113" s="1"/>
      <c r="AV113" s="1" t="s">
        <v>88</v>
      </c>
      <c r="AW113" s="1"/>
      <c r="AX113" s="1"/>
      <c r="AY113" s="1">
        <v>70.123394720855103</v>
      </c>
      <c r="AZ113" s="1">
        <f t="shared" si="24"/>
        <v>58.534207376877816</v>
      </c>
      <c r="BA113" s="30">
        <v>70.12</v>
      </c>
      <c r="BB113" s="5"/>
    </row>
    <row r="114" spans="46:54" ht="30" x14ac:dyDescent="0.25">
      <c r="AT114" s="1">
        <v>901</v>
      </c>
      <c r="AU114" s="1"/>
      <c r="AV114" s="1" t="s">
        <v>88</v>
      </c>
      <c r="AW114" s="1"/>
      <c r="AX114" s="1"/>
      <c r="AY114" s="1">
        <v>244.765579537082</v>
      </c>
      <c r="AZ114" s="1">
        <f t="shared" si="24"/>
        <v>656.08990694407987</v>
      </c>
      <c r="BA114" s="30">
        <v>656.09</v>
      </c>
      <c r="BB114" s="5"/>
    </row>
    <row r="115" spans="46:54" ht="30" x14ac:dyDescent="0.25">
      <c r="AT115" s="1">
        <v>902</v>
      </c>
      <c r="AU115" s="1"/>
      <c r="AV115" s="1" t="s">
        <v>88</v>
      </c>
      <c r="AW115" s="1"/>
      <c r="AX115" s="1"/>
      <c r="AY115" s="1">
        <v>31.7991006330072</v>
      </c>
      <c r="AZ115" s="1">
        <f t="shared" si="24"/>
        <v>-72.596197274102565</v>
      </c>
      <c r="BA115" s="30">
        <v>31.8</v>
      </c>
      <c r="BB115" s="5"/>
    </row>
    <row r="116" spans="46:54" ht="30" x14ac:dyDescent="0.25">
      <c r="AT116" s="1">
        <v>903</v>
      </c>
      <c r="AU116" s="1"/>
      <c r="AV116" s="1" t="s">
        <v>88</v>
      </c>
      <c r="AW116" s="1"/>
      <c r="AX116" s="1"/>
      <c r="AY116" s="1">
        <v>379.40267542121097</v>
      </c>
      <c r="AZ116" s="1">
        <f t="shared" si="24"/>
        <v>1116.7641942212153</v>
      </c>
      <c r="BA116" s="30">
        <v>1116.76</v>
      </c>
      <c r="BB116" s="5"/>
    </row>
    <row r="117" spans="46:54" ht="30" x14ac:dyDescent="0.25">
      <c r="AT117" s="1">
        <v>906</v>
      </c>
      <c r="AU117" s="1"/>
      <c r="AV117" s="1" t="s">
        <v>88</v>
      </c>
      <c r="AW117" s="1"/>
      <c r="AX117" s="1"/>
      <c r="AY117" s="1">
        <v>27.285704437936001</v>
      </c>
      <c r="AZ117" s="1">
        <f t="shared" si="24"/>
        <v>-88.039233695158174</v>
      </c>
      <c r="BA117" s="30">
        <v>27.28</v>
      </c>
      <c r="BB117" s="5"/>
    </row>
    <row r="118" spans="46:54" ht="30" x14ac:dyDescent="0.25">
      <c r="AT118" s="10">
        <v>911</v>
      </c>
      <c r="AU118" s="10"/>
      <c r="AV118" s="1" t="s">
        <v>88</v>
      </c>
      <c r="AW118" s="10"/>
      <c r="AX118" s="10"/>
      <c r="AY118" s="10">
        <v>25.200543977632101</v>
      </c>
      <c r="AZ118" s="1">
        <f t="shared" si="24"/>
        <v>-95.173818726134002</v>
      </c>
      <c r="BA118" s="32">
        <v>25.2</v>
      </c>
      <c r="BB118" s="5"/>
    </row>
    <row r="119" spans="46:54" ht="30" x14ac:dyDescent="0.25">
      <c r="AT119" s="7">
        <v>1035</v>
      </c>
      <c r="AU119" s="20">
        <v>6700</v>
      </c>
      <c r="AV119" s="39" t="s">
        <v>88</v>
      </c>
      <c r="AW119" s="20"/>
      <c r="AX119" s="20"/>
      <c r="AY119" s="20">
        <v>1850</v>
      </c>
      <c r="AZ119" s="20">
        <f t="shared" si="24"/>
        <v>6148.56</v>
      </c>
      <c r="BA119" s="13">
        <v>6700</v>
      </c>
      <c r="BB119" s="5" t="s">
        <v>86</v>
      </c>
    </row>
    <row r="120" spans="46:54" ht="30" x14ac:dyDescent="0.25">
      <c r="AT120" s="7">
        <v>1036</v>
      </c>
      <c r="AU120" s="20">
        <v>2850</v>
      </c>
      <c r="AV120" s="39" t="s">
        <v>88</v>
      </c>
      <c r="AW120" s="20"/>
      <c r="AX120" s="20"/>
      <c r="AY120" s="20">
        <v>1300</v>
      </c>
      <c r="AZ120" s="20">
        <f t="shared" si="24"/>
        <v>4266.68</v>
      </c>
      <c r="BA120" s="13">
        <v>2850</v>
      </c>
      <c r="BB120" s="5" t="s">
        <v>87</v>
      </c>
    </row>
    <row r="121" spans="46:54" x14ac:dyDescent="0.25">
      <c r="AT121" s="5"/>
      <c r="AU121" s="5"/>
      <c r="AV121" s="5"/>
      <c r="AW121" s="5"/>
      <c r="AX121" s="5"/>
      <c r="AY121" s="8">
        <f>SUM(AY3:AY120)</f>
        <v>131697.93148810789</v>
      </c>
      <c r="AZ121" s="8">
        <f t="shared" ref="AZ121:BA121" si="26">SUM(AZ3:AZ120)</f>
        <v>429212.44237971021</v>
      </c>
      <c r="BA121" s="13">
        <f t="shared" si="26"/>
        <v>428341.98000000004</v>
      </c>
      <c r="BB121" s="5"/>
    </row>
  </sheetData>
  <mergeCells count="8">
    <mergeCell ref="A1:H1"/>
    <mergeCell ref="AB1:AI1"/>
    <mergeCell ref="S13:Z13"/>
    <mergeCell ref="AK1:AR1"/>
    <mergeCell ref="AT1:BA1"/>
    <mergeCell ref="BD1:BK1"/>
    <mergeCell ref="J1:Q1"/>
    <mergeCell ref="S1:Z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opLeftCell="A3" workbookViewId="0">
      <selection activeCell="H9" activeCellId="1" sqref="R22 H9"/>
    </sheetView>
  </sheetViews>
  <sheetFormatPr baseColWidth="10" defaultRowHeight="15" x14ac:dyDescent="0.25"/>
  <sheetData>
    <row r="1" spans="1:18" x14ac:dyDescent="0.25">
      <c r="A1" s="60" t="s">
        <v>52</v>
      </c>
      <c r="B1" s="60"/>
      <c r="C1" s="60"/>
      <c r="D1" s="60"/>
      <c r="E1" s="60"/>
      <c r="F1" s="60"/>
      <c r="G1" s="60"/>
      <c r="H1" s="60"/>
      <c r="K1" s="60" t="s">
        <v>52</v>
      </c>
      <c r="L1" s="60"/>
      <c r="M1" s="60"/>
      <c r="N1" s="60"/>
      <c r="O1" s="60"/>
      <c r="P1" s="60"/>
      <c r="Q1" s="60"/>
      <c r="R1" s="60"/>
    </row>
    <row r="2" spans="1:18" ht="28.9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77</v>
      </c>
      <c r="F2" s="6" t="s">
        <v>54</v>
      </c>
      <c r="G2" s="7" t="s">
        <v>41</v>
      </c>
      <c r="H2" s="12" t="s">
        <v>44</v>
      </c>
      <c r="K2" s="1" t="s">
        <v>0</v>
      </c>
      <c r="L2" s="1" t="s">
        <v>1</v>
      </c>
      <c r="M2" s="1" t="s">
        <v>2</v>
      </c>
      <c r="N2" s="1" t="s">
        <v>3</v>
      </c>
      <c r="O2" s="1" t="s">
        <v>4</v>
      </c>
      <c r="P2" s="1" t="s">
        <v>54</v>
      </c>
      <c r="Q2" s="17" t="s">
        <v>41</v>
      </c>
      <c r="R2" s="12" t="s">
        <v>42</v>
      </c>
    </row>
    <row r="3" spans="1:18" ht="45" x14ac:dyDescent="0.25">
      <c r="A3" s="1">
        <v>1</v>
      </c>
      <c r="B3" s="21">
        <v>250</v>
      </c>
      <c r="C3" s="1" t="s">
        <v>76</v>
      </c>
      <c r="D3" s="1"/>
      <c r="E3" s="1"/>
      <c r="F3" s="6">
        <v>372.47275947814302</v>
      </c>
      <c r="G3" s="8">
        <f>3.4116*F3-181.4</f>
        <v>1089.3280662356326</v>
      </c>
      <c r="H3" s="13">
        <v>1089.33</v>
      </c>
      <c r="K3" s="1">
        <v>4</v>
      </c>
      <c r="L3" s="1"/>
      <c r="M3" s="1" t="s">
        <v>79</v>
      </c>
      <c r="N3" s="1"/>
      <c r="O3" s="1"/>
      <c r="P3" s="1">
        <v>810.32376212098598</v>
      </c>
      <c r="Q3" s="1">
        <f>3.4216*P3-181.4</f>
        <v>2591.2037844731658</v>
      </c>
      <c r="R3" s="30">
        <v>2591.1999999999998</v>
      </c>
    </row>
    <row r="4" spans="1:18" ht="45" x14ac:dyDescent="0.25">
      <c r="A4" s="30">
        <v>2</v>
      </c>
      <c r="B4" s="30"/>
      <c r="C4" s="30" t="s">
        <v>76</v>
      </c>
      <c r="D4" s="30"/>
      <c r="E4" s="30"/>
      <c r="F4" s="31">
        <v>12485.5805487955</v>
      </c>
      <c r="G4" s="13">
        <f t="shared" ref="G4:G8" si="0">3.4116*F4-181.4</f>
        <v>42414.406600270726</v>
      </c>
      <c r="H4" s="13">
        <v>42414.41</v>
      </c>
      <c r="I4" t="s">
        <v>78</v>
      </c>
      <c r="K4" s="1">
        <v>5</v>
      </c>
      <c r="L4" s="1"/>
      <c r="M4" s="1" t="s">
        <v>79</v>
      </c>
      <c r="N4" s="1"/>
      <c r="O4" s="1"/>
      <c r="P4" s="1">
        <v>983.99139110201099</v>
      </c>
      <c r="Q4" s="1">
        <f t="shared" ref="Q4:Q21" si="1">3.4216*P4-181.4</f>
        <v>3185.424943794641</v>
      </c>
      <c r="R4" s="30">
        <v>3185.42</v>
      </c>
    </row>
    <row r="5" spans="1:18" ht="45" x14ac:dyDescent="0.25">
      <c r="A5" s="1">
        <v>3</v>
      </c>
      <c r="B5" s="2">
        <v>2000</v>
      </c>
      <c r="C5" s="1" t="s">
        <v>76</v>
      </c>
      <c r="D5" s="1"/>
      <c r="E5" s="1"/>
      <c r="F5" s="6">
        <v>533.99508285269599</v>
      </c>
      <c r="G5" s="8">
        <f t="shared" si="0"/>
        <v>1640.3776246602574</v>
      </c>
      <c r="H5" s="13">
        <v>2000</v>
      </c>
      <c r="K5" s="1">
        <v>6</v>
      </c>
      <c r="L5" s="1"/>
      <c r="M5" s="1" t="s">
        <v>79</v>
      </c>
      <c r="N5" s="1"/>
      <c r="O5" s="1"/>
      <c r="P5" s="1">
        <v>727.24781458856501</v>
      </c>
      <c r="Q5" s="1">
        <f t="shared" si="1"/>
        <v>2306.951122396234</v>
      </c>
      <c r="R5" s="30">
        <v>2306.9499999999998</v>
      </c>
    </row>
    <row r="6" spans="1:18" ht="45" x14ac:dyDescent="0.25">
      <c r="A6" s="1">
        <v>30</v>
      </c>
      <c r="B6" s="22">
        <v>20000</v>
      </c>
      <c r="C6" s="1" t="s">
        <v>76</v>
      </c>
      <c r="D6" s="1"/>
      <c r="E6" s="1"/>
      <c r="F6" s="6">
        <v>2187.55826864643</v>
      </c>
      <c r="G6" s="8">
        <f t="shared" si="0"/>
        <v>7281.6737893141608</v>
      </c>
      <c r="H6" s="13">
        <v>7281.67</v>
      </c>
      <c r="K6" s="1">
        <v>7</v>
      </c>
      <c r="L6" s="21">
        <v>400</v>
      </c>
      <c r="M6" s="1" t="s">
        <v>79</v>
      </c>
      <c r="N6" s="1"/>
      <c r="O6" s="1"/>
      <c r="P6" s="1">
        <v>645.12565259836094</v>
      </c>
      <c r="Q6" s="1">
        <f t="shared" si="1"/>
        <v>2025.9619329305519</v>
      </c>
      <c r="R6" s="30">
        <v>2025.96</v>
      </c>
    </row>
    <row r="7" spans="1:18" ht="45" x14ac:dyDescent="0.25">
      <c r="A7" s="1">
        <v>37</v>
      </c>
      <c r="B7" s="1"/>
      <c r="C7" s="1" t="s">
        <v>76</v>
      </c>
      <c r="D7" s="1"/>
      <c r="E7" s="1"/>
      <c r="F7" s="6">
        <v>365.684720357027</v>
      </c>
      <c r="G7" s="8">
        <f t="shared" si="0"/>
        <v>1066.1699919700332</v>
      </c>
      <c r="H7" s="13">
        <v>1066.17</v>
      </c>
      <c r="K7" s="1">
        <v>12</v>
      </c>
      <c r="L7" s="1"/>
      <c r="M7" s="1" t="s">
        <v>79</v>
      </c>
      <c r="N7" s="1"/>
      <c r="O7" s="1"/>
      <c r="P7" s="1">
        <v>136.231380477248</v>
      </c>
      <c r="Q7" s="1">
        <f t="shared" si="1"/>
        <v>284.72929144095178</v>
      </c>
      <c r="R7" s="30">
        <v>284.73</v>
      </c>
    </row>
    <row r="8" spans="1:18" ht="45" x14ac:dyDescent="0.25">
      <c r="A8" s="1">
        <v>46</v>
      </c>
      <c r="B8" s="22">
        <v>1000</v>
      </c>
      <c r="C8" s="1" t="s">
        <v>76</v>
      </c>
      <c r="D8" s="1"/>
      <c r="E8" s="1"/>
      <c r="F8" s="16">
        <v>1056.64628192536</v>
      </c>
      <c r="G8" s="8">
        <f t="shared" si="0"/>
        <v>3423.4544554165582</v>
      </c>
      <c r="H8" s="13">
        <v>3423.45</v>
      </c>
      <c r="K8" s="1">
        <v>13</v>
      </c>
      <c r="L8" s="1"/>
      <c r="M8" s="1" t="s">
        <v>79</v>
      </c>
      <c r="N8" s="1"/>
      <c r="O8" s="1"/>
      <c r="P8" s="1">
        <v>159.362055079019</v>
      </c>
      <c r="Q8" s="1">
        <f t="shared" si="1"/>
        <v>363.87320765837148</v>
      </c>
      <c r="R8" s="30">
        <v>363.87</v>
      </c>
    </row>
    <row r="9" spans="1:18" ht="14.45" x14ac:dyDescent="0.3">
      <c r="F9" s="8">
        <f>SUM(F3:F8)</f>
        <v>17001.937662055156</v>
      </c>
      <c r="G9" s="8">
        <f t="shared" ref="G9:H9" si="2">SUM(G3:G8)</f>
        <v>56915.410527867367</v>
      </c>
      <c r="H9" s="13">
        <f t="shared" si="2"/>
        <v>57275.03</v>
      </c>
      <c r="K9" s="1">
        <v>15</v>
      </c>
      <c r="L9" s="1"/>
      <c r="M9" s="1" t="s">
        <v>79</v>
      </c>
      <c r="N9" s="1"/>
      <c r="O9" s="1"/>
      <c r="P9" s="1">
        <v>213.83162090015199</v>
      </c>
      <c r="Q9" s="1">
        <f t="shared" si="1"/>
        <v>550.2462740719601</v>
      </c>
      <c r="R9" s="30">
        <v>550.25</v>
      </c>
    </row>
    <row r="10" spans="1:18" ht="14.45" x14ac:dyDescent="0.3">
      <c r="K10" s="1">
        <v>16</v>
      </c>
      <c r="L10" s="21">
        <v>250</v>
      </c>
      <c r="M10" s="1" t="s">
        <v>79</v>
      </c>
      <c r="N10" s="1"/>
      <c r="O10" s="1"/>
      <c r="P10" s="1">
        <v>181.77282303016699</v>
      </c>
      <c r="Q10" s="1">
        <f t="shared" si="1"/>
        <v>440.55389128001946</v>
      </c>
      <c r="R10" s="30">
        <v>440.55</v>
      </c>
    </row>
    <row r="11" spans="1:18" ht="14.45" x14ac:dyDescent="0.3">
      <c r="K11" s="1">
        <v>17</v>
      </c>
      <c r="L11" s="1"/>
      <c r="M11" s="1" t="s">
        <v>79</v>
      </c>
      <c r="N11" s="1"/>
      <c r="O11" s="1"/>
      <c r="P11" s="1">
        <v>120.977588535881</v>
      </c>
      <c r="Q11" s="1">
        <f t="shared" si="1"/>
        <v>232.53691693437045</v>
      </c>
      <c r="R11" s="30">
        <v>232.54</v>
      </c>
    </row>
    <row r="12" spans="1:18" ht="14.45" x14ac:dyDescent="0.3">
      <c r="K12" s="1">
        <v>18</v>
      </c>
      <c r="L12" s="1"/>
      <c r="M12" s="1" t="s">
        <v>79</v>
      </c>
      <c r="N12" s="1"/>
      <c r="O12" s="1"/>
      <c r="P12" s="1">
        <v>714.05534368607505</v>
      </c>
      <c r="Q12" s="1">
        <f t="shared" si="1"/>
        <v>2261.8117639562743</v>
      </c>
      <c r="R12" s="30">
        <v>2261.81</v>
      </c>
    </row>
    <row r="13" spans="1:18" ht="14.45" x14ac:dyDescent="0.3">
      <c r="K13" s="1">
        <v>20</v>
      </c>
      <c r="L13" s="1"/>
      <c r="M13" s="1" t="s">
        <v>79</v>
      </c>
      <c r="N13" s="1"/>
      <c r="O13" s="1"/>
      <c r="P13" s="1">
        <v>474.50400126875701</v>
      </c>
      <c r="Q13" s="1">
        <f t="shared" si="1"/>
        <v>1442.1628907411789</v>
      </c>
      <c r="R13" s="30">
        <v>1442.16</v>
      </c>
    </row>
    <row r="14" spans="1:18" ht="14.45" x14ac:dyDescent="0.3">
      <c r="K14" s="1">
        <v>22</v>
      </c>
      <c r="L14" s="1"/>
      <c r="M14" s="1" t="s">
        <v>79</v>
      </c>
      <c r="N14" s="1"/>
      <c r="O14" s="1"/>
      <c r="P14" s="1">
        <v>237.64150395992399</v>
      </c>
      <c r="Q14" s="1">
        <f t="shared" si="1"/>
        <v>631.71416994927597</v>
      </c>
      <c r="R14" s="30">
        <v>631.71</v>
      </c>
    </row>
    <row r="15" spans="1:18" ht="14.45" x14ac:dyDescent="0.3">
      <c r="K15" s="1">
        <v>23</v>
      </c>
      <c r="L15" s="22">
        <v>20000</v>
      </c>
      <c r="M15" s="1" t="s">
        <v>79</v>
      </c>
      <c r="N15" s="1"/>
      <c r="O15" s="1"/>
      <c r="P15" s="1">
        <v>1179.14209218112</v>
      </c>
      <c r="Q15" s="1">
        <f t="shared" si="1"/>
        <v>3853.1525826069205</v>
      </c>
      <c r="R15" s="30">
        <v>3853.15</v>
      </c>
    </row>
    <row r="16" spans="1:18" ht="14.45" x14ac:dyDescent="0.3">
      <c r="K16" s="1">
        <v>24</v>
      </c>
      <c r="L16" s="22">
        <v>5000</v>
      </c>
      <c r="M16" s="1" t="s">
        <v>79</v>
      </c>
      <c r="N16" s="1"/>
      <c r="O16" s="1"/>
      <c r="P16" s="1">
        <v>1733.51068985595</v>
      </c>
      <c r="Q16" s="1">
        <f t="shared" si="1"/>
        <v>5749.9801764111189</v>
      </c>
      <c r="R16" s="30">
        <v>5749.98</v>
      </c>
    </row>
    <row r="17" spans="11:18" ht="14.45" x14ac:dyDescent="0.3">
      <c r="K17" s="1">
        <v>25</v>
      </c>
      <c r="L17" s="1"/>
      <c r="M17" s="1" t="s">
        <v>79</v>
      </c>
      <c r="N17" s="1"/>
      <c r="O17" s="1"/>
      <c r="P17" s="1">
        <v>1156.4570720733</v>
      </c>
      <c r="Q17" s="1">
        <f t="shared" si="1"/>
        <v>3775.5335178060031</v>
      </c>
      <c r="R17" s="30">
        <v>3775.53</v>
      </c>
    </row>
    <row r="18" spans="11:18" ht="14.45" x14ac:dyDescent="0.3">
      <c r="K18" s="1">
        <v>26</v>
      </c>
      <c r="L18" s="22">
        <v>16000</v>
      </c>
      <c r="M18" s="1" t="s">
        <v>79</v>
      </c>
      <c r="N18" s="1"/>
      <c r="O18" s="1"/>
      <c r="P18" s="1">
        <v>2308.8536341745298</v>
      </c>
      <c r="Q18" s="1">
        <f t="shared" si="1"/>
        <v>7718.573594691572</v>
      </c>
      <c r="R18" s="30">
        <v>7718.57</v>
      </c>
    </row>
    <row r="19" spans="11:18" ht="14.45" x14ac:dyDescent="0.3">
      <c r="K19" s="1">
        <v>27</v>
      </c>
      <c r="L19" s="22">
        <v>15000</v>
      </c>
      <c r="M19" s="1" t="s">
        <v>79</v>
      </c>
      <c r="N19" s="1"/>
      <c r="O19" s="1"/>
      <c r="P19" s="1">
        <v>5008.5583673279198</v>
      </c>
      <c r="Q19" s="1">
        <f t="shared" si="1"/>
        <v>16955.883309649209</v>
      </c>
      <c r="R19" s="30">
        <v>16955.88</v>
      </c>
    </row>
    <row r="20" spans="11:18" x14ac:dyDescent="0.25">
      <c r="K20" s="1">
        <v>19</v>
      </c>
      <c r="L20" s="21">
        <v>700</v>
      </c>
      <c r="M20" s="1" t="s">
        <v>79</v>
      </c>
      <c r="N20" s="1"/>
      <c r="O20" s="1"/>
      <c r="P20" s="1">
        <v>530.00380382165099</v>
      </c>
      <c r="Q20" s="1">
        <f t="shared" si="1"/>
        <v>1632.0610151561611</v>
      </c>
      <c r="R20" s="30">
        <v>1632.06</v>
      </c>
    </row>
    <row r="21" spans="11:18" x14ac:dyDescent="0.25">
      <c r="K21" s="1">
        <v>880</v>
      </c>
      <c r="L21" s="1"/>
      <c r="M21" s="1" t="s">
        <v>79</v>
      </c>
      <c r="N21" s="1"/>
      <c r="O21" s="1"/>
      <c r="P21" s="10">
        <v>101.410081593977</v>
      </c>
      <c r="Q21" s="10">
        <f t="shared" si="1"/>
        <v>165.58473518195169</v>
      </c>
      <c r="R21" s="32">
        <v>165.58</v>
      </c>
    </row>
    <row r="22" spans="11:18" x14ac:dyDescent="0.25">
      <c r="P22" s="8">
        <f>SUM(P3:P21)</f>
        <v>17423.000678375593</v>
      </c>
      <c r="Q22" s="8">
        <f t="shared" ref="Q22" si="3">SUM(Q3:Q21)</f>
        <v>56167.939121129937</v>
      </c>
      <c r="R22" s="13">
        <f>SUM(R3:R21)</f>
        <v>56167.899999999994</v>
      </c>
    </row>
  </sheetData>
  <mergeCells count="2">
    <mergeCell ref="A1:H1"/>
    <mergeCell ref="K1:R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Protocole</vt:lpstr>
      <vt:lpstr>Volume par BV</vt:lpstr>
      <vt:lpstr>Duzon</vt:lpstr>
      <vt:lpstr>Daronne</vt:lpstr>
      <vt:lpstr>HVDoux</vt:lpstr>
      <vt:lpstr>MV Doux</vt:lpstr>
      <vt:lpstr>BaVDoux</vt:lpstr>
    </vt:vector>
  </TitlesOfParts>
  <Company>ARCHE AGGLO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Renaud Dumas</dc:creator>
  <cp:lastModifiedBy>Renaud Dumas</cp:lastModifiedBy>
  <dcterms:created xsi:type="dcterms:W3CDTF">2020-03-20T06:39:31Z</dcterms:created>
  <dcterms:modified xsi:type="dcterms:W3CDTF">2021-09-02T09:45:20Z</dcterms:modified>
</cp:coreProperties>
</file>